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5880" windowHeight="3390" tabRatio="797" activeTab="0"/>
  </bookViews>
  <sheets>
    <sheet name="1" sheetId="1" r:id="rId1"/>
    <sheet name="1-resenje" sheetId="2" r:id="rId2"/>
    <sheet name="2" sheetId="3" r:id="rId3"/>
    <sheet name="2-resenje" sheetId="4" r:id="rId4"/>
    <sheet name="3" sheetId="5" r:id="rId5"/>
    <sheet name="3-resenje" sheetId="6" r:id="rId6"/>
    <sheet name="4" sheetId="7" r:id="rId7"/>
    <sheet name="4-resenje" sheetId="8" r:id="rId8"/>
    <sheet name="5" sheetId="9" r:id="rId9"/>
    <sheet name="5-resenje" sheetId="10" r:id="rId10"/>
    <sheet name="6" sheetId="11" r:id="rId11"/>
    <sheet name="6-resenje" sheetId="12" r:id="rId12"/>
    <sheet name="7" sheetId="13" r:id="rId13"/>
    <sheet name="7-resenje" sheetId="14" r:id="rId14"/>
    <sheet name="8" sheetId="15" r:id="rId15"/>
    <sheet name="8-resenje" sheetId="16" r:id="rId16"/>
  </sheets>
  <definedNames/>
  <calcPr fullCalcOnLoad="1"/>
</workbook>
</file>

<file path=xl/sharedStrings.xml><?xml version="1.0" encoding="utf-8"?>
<sst xmlns="http://schemas.openxmlformats.org/spreadsheetml/2006/main" count="439" uniqueCount="182">
  <si>
    <t>Artikl</t>
  </si>
  <si>
    <t>Cena artikla</t>
  </si>
  <si>
    <t>Broj komada</t>
  </si>
  <si>
    <t>Račun</t>
  </si>
  <si>
    <t>Čokolada 100gr</t>
  </si>
  <si>
    <t>Čips  50gr</t>
  </si>
  <si>
    <t>Coca Cola 1,5l</t>
  </si>
  <si>
    <t>AB kultura</t>
  </si>
  <si>
    <t>Kisela voda 1,5</t>
  </si>
  <si>
    <t>Cappy juice</t>
  </si>
  <si>
    <t>Aquafresh 100ml</t>
  </si>
  <si>
    <r>
      <t>SVEUKUPAN IZNOS ZA NAPLATU</t>
    </r>
    <r>
      <rPr>
        <sz val="10"/>
        <rFont val="Arial"/>
        <family val="0"/>
      </rPr>
      <t>:</t>
    </r>
  </si>
  <si>
    <t>1. zadatak</t>
  </si>
  <si>
    <t>Na nekom ispitu učenik može sakupiti ukupno 50 bodova, a na vežbama može dobiti ukupno 20 bodova.</t>
  </si>
  <si>
    <r>
      <t>Ako učenik ima</t>
    </r>
    <r>
      <rPr>
        <b/>
        <sz val="10"/>
        <rFont val="Arial"/>
        <family val="2"/>
      </rPr>
      <t xml:space="preserve"> ukupno</t>
    </r>
    <r>
      <rPr>
        <sz val="10"/>
        <rFont val="Arial"/>
        <family val="2"/>
      </rPr>
      <t xml:space="preserve"> više od 65 bodova, dobija dodatna 3 boda. Izračunaj ukupan broj bodova na ispitu.</t>
    </r>
  </si>
  <si>
    <t>Br. bodova na ispitu</t>
  </si>
  <si>
    <t>Br. bodova na vežbama</t>
  </si>
  <si>
    <t>2. zadatak</t>
  </si>
  <si>
    <t>Ukupno</t>
  </si>
  <si>
    <t>A</t>
  </si>
  <si>
    <t>B</t>
  </si>
  <si>
    <t>Pronadji apsolutnu vrednost broja B</t>
  </si>
  <si>
    <t>A+2B</t>
  </si>
  <si>
    <t>Zaokruzi broj A na ceo broj</t>
  </si>
  <si>
    <t>Rimski zapis celog broja A</t>
  </si>
  <si>
    <t>Ostatak pri deljenju broja A brojem B</t>
  </si>
  <si>
    <t>Zaokruzi broj A na tri decimale</t>
  </si>
  <si>
    <t>Odseci 2 decimale broju A</t>
  </si>
  <si>
    <t>Kvadratni  koren broja A</t>
  </si>
  <si>
    <t>Peti koren broja A</t>
  </si>
  <si>
    <t>Ako je B negativan broj dodaj mu broj 10</t>
  </si>
  <si>
    <t>Artikal</t>
  </si>
  <si>
    <t>Cena</t>
  </si>
  <si>
    <t>Gotovina</t>
  </si>
  <si>
    <t>da</t>
  </si>
  <si>
    <t>ne</t>
  </si>
  <si>
    <t>Konacna cena</t>
  </si>
  <si>
    <t xml:space="preserve">Ako je cena veca od 1000 dinara i placa se gotovinom umanjiti konacnu cenu za 10 posto </t>
  </si>
  <si>
    <r>
      <t>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*</t>
    </r>
    <r>
      <rPr>
        <b/>
        <sz val="9"/>
        <rFont val="Arial"/>
        <family val="2"/>
      </rPr>
      <t xml:space="preserve"> (1+B)</t>
    </r>
  </si>
  <si>
    <t>Ako je A vece od 50 oduzmi mu 22</t>
  </si>
  <si>
    <r>
      <t>A</t>
    </r>
    <r>
      <rPr>
        <sz val="14"/>
        <rFont val="Arial"/>
        <family val="2"/>
      </rPr>
      <t>*</t>
    </r>
    <r>
      <rPr>
        <b/>
        <sz val="9"/>
        <rFont val="Arial"/>
        <family val="2"/>
      </rPr>
      <t>(1+B)</t>
    </r>
  </si>
  <si>
    <t>3. zadatak</t>
  </si>
  <si>
    <t>4. zadatak</t>
  </si>
  <si>
    <t>Statistika uspeha učenika nekog razreda:</t>
  </si>
  <si>
    <t>Br. učenika u razredu</t>
  </si>
  <si>
    <t>Uspeh učenika:</t>
  </si>
  <si>
    <t>Br. učenika prema uspehu</t>
  </si>
  <si>
    <t>Procenat uspeha</t>
  </si>
  <si>
    <t>odličan</t>
  </si>
  <si>
    <t>vrlodobar</t>
  </si>
  <si>
    <t>dobar</t>
  </si>
  <si>
    <t>dovoljan</t>
  </si>
  <si>
    <t>nedovoljan</t>
  </si>
  <si>
    <t>5. zadatak:</t>
  </si>
  <si>
    <t>Porez--&gt;</t>
  </si>
  <si>
    <t>Račun u trgovini (uracunati porez u cenu):</t>
  </si>
  <si>
    <t xml:space="preserve">6. zadatak:   </t>
  </si>
  <si>
    <t>Objasnjenje: (Cena + 20%poreza koji se dobija kao cena *porez) * sve to puta broj komada</t>
  </si>
  <si>
    <t>U knjižari za kupovinu knjiga nude sledeće uslove: uvećanje od 5% za kupovinu čekom na 6 rata, ili popust od 10% za kupovinu gotovinom.</t>
  </si>
  <si>
    <t>Cena u EURO-ima obračunava se po kursu i to na cenu knjige s Porezom.</t>
  </si>
  <si>
    <t>Cena knjige</t>
  </si>
  <si>
    <t>Cena s Porezom</t>
  </si>
  <si>
    <t>Cena za ček</t>
  </si>
  <si>
    <t>Iznos jedne rate</t>
  </si>
  <si>
    <t>Cena za gotovinu</t>
  </si>
  <si>
    <t>Cena u EURO</t>
  </si>
  <si>
    <t>Kurs EURO-a</t>
  </si>
  <si>
    <t>Porez</t>
  </si>
  <si>
    <t xml:space="preserve">7. zadatak:  </t>
  </si>
  <si>
    <r>
      <t>U knjižari za kupovinu knjiga nude sledeće uslove:</t>
    </r>
    <r>
      <rPr>
        <b/>
        <sz val="10"/>
        <rFont val="Arial"/>
        <family val="2"/>
      </rPr>
      <t xml:space="preserve"> uvećanje od 5% za kupovinu čekom na 6 rata, ili popust od 10% za kupovinu gotovinom.</t>
    </r>
  </si>
  <si>
    <t>Test A (%)</t>
  </si>
  <si>
    <t>Test B (%)</t>
  </si>
  <si>
    <t>Rezultat</t>
  </si>
  <si>
    <t>Polaznik 1</t>
  </si>
  <si>
    <t>PROŠAO</t>
  </si>
  <si>
    <t>A&gt;50 i B&gt;50</t>
  </si>
  <si>
    <t>Polaznik 2</t>
  </si>
  <si>
    <t>PAO</t>
  </si>
  <si>
    <t>A&lt;50 ili B&lt;50</t>
  </si>
  <si>
    <t>Polaznik 3</t>
  </si>
  <si>
    <t>Polaznik 4</t>
  </si>
  <si>
    <t>Polaznik 5</t>
  </si>
  <si>
    <t xml:space="preserve">8. zadatak:   </t>
  </si>
  <si>
    <t>Polaznik je prosao ako na testu A i testu B ima vise od 50%, a pao ako na testu A ili na testu B ima manje od 50%</t>
  </si>
  <si>
    <t>Napraviti grafik sa  funkcijama f(x)=sin(x) i g(x)=sin(2x) za -pi/2&lt;x&lt;pi/2 sa korakom 0.1 za x.</t>
  </si>
  <si>
    <t>x</t>
  </si>
  <si>
    <t>f(x)</t>
  </si>
  <si>
    <t>g(x)</t>
  </si>
  <si>
    <t xml:space="preserve">9. zadatak:   </t>
  </si>
  <si>
    <t>Da bi se napravio grafik potrebno je selektovati funkciju f(x) i g(x) (sve njihove vrednosti) i iz glavnog menija birati opciju Insert/Chart/Line</t>
  </si>
  <si>
    <t>Objasnjenje: Pronadji gore (medju ikonicama) oznaku za posto %. Oznaka $ u formuli znaci da je to polje fiksirano i ono se nikada ne menja.</t>
  </si>
  <si>
    <t>Artikli:</t>
  </si>
  <si>
    <t>br. prodanih komada artikla</t>
  </si>
  <si>
    <t>Artikal 1</t>
  </si>
  <si>
    <t>Artikal 2</t>
  </si>
  <si>
    <t>Artikal 3</t>
  </si>
  <si>
    <t>Artikal 4</t>
  </si>
  <si>
    <t>Artikal 5</t>
  </si>
  <si>
    <r>
      <t>10. zadatak</t>
    </r>
    <r>
      <rPr>
        <sz val="10"/>
        <color indexed="10"/>
        <rFont val="Arial"/>
        <family val="2"/>
      </rPr>
      <t>:</t>
    </r>
    <r>
      <rPr>
        <sz val="10"/>
        <rFont val="Arial"/>
        <family val="2"/>
      </rPr>
      <t xml:space="preserve">  Izračunaj ukupan broj prodatih komada artikala, ali samo ako je njihova cena veća od 10 E.</t>
    </r>
  </si>
  <si>
    <t xml:space="preserve"> (DA, NE)</t>
  </si>
  <si>
    <t>Br. god.</t>
  </si>
  <si>
    <t>Punoletan</t>
  </si>
  <si>
    <t>Učenik1</t>
  </si>
  <si>
    <t>Učenik2</t>
  </si>
  <si>
    <t>Učenik3</t>
  </si>
  <si>
    <t>Učenik4</t>
  </si>
  <si>
    <t>Učenik5</t>
  </si>
  <si>
    <t>11. zadatak:</t>
  </si>
  <si>
    <t>Ispiši rečima da li je učenik punoletan ili nije.Prebroj punoletne.</t>
  </si>
  <si>
    <t>Punoletnih ima:</t>
  </si>
  <si>
    <t>Napraviti grafik sa  funkcijom f(x)=sin(x)-cos(2x) za -pi/2&lt;x&lt;pi/2 sa korakom 0.1 za x.</t>
  </si>
  <si>
    <t xml:space="preserve">12. zadatak:   </t>
  </si>
  <si>
    <t>Bodovi na testu</t>
  </si>
  <si>
    <t>Komentar</t>
  </si>
  <si>
    <t>Polaznik1</t>
  </si>
  <si>
    <t>više od 90% - ODLIČAN</t>
  </si>
  <si>
    <t>Polaznik2</t>
  </si>
  <si>
    <t>od 80% do 90% - VRLO DOBAR</t>
  </si>
  <si>
    <t>Polaznik3</t>
  </si>
  <si>
    <t>od 65% do 79% - DOBAR</t>
  </si>
  <si>
    <t>Polaznik4</t>
  </si>
  <si>
    <t>od 50% do 64% - DOVOLJAN</t>
  </si>
  <si>
    <t>Polaznik5</t>
  </si>
  <si>
    <t>manje od 50% - NEDOVOLJAN</t>
  </si>
  <si>
    <r>
      <t>13. zadatak</t>
    </r>
    <r>
      <rPr>
        <sz val="10"/>
        <rFont val="Arial"/>
        <family val="0"/>
      </rPr>
      <t>: Treba ispisati rečima ocenu polaznika, zavisno od njegovih bodova na testu.</t>
    </r>
  </si>
  <si>
    <r>
      <t>13. Zadatak</t>
    </r>
    <r>
      <rPr>
        <sz val="10"/>
        <rFont val="Arial"/>
        <family val="0"/>
      </rPr>
      <t>: Treba ispisati rečima ocenu polaznika, zavisno od njegovih bodova na testu.</t>
    </r>
  </si>
  <si>
    <r>
      <t>14. Zadatak</t>
    </r>
    <r>
      <rPr>
        <sz val="10"/>
        <color indexed="10"/>
        <rFont val="Times New Roman"/>
        <family val="1"/>
      </rPr>
      <t>:</t>
    </r>
    <r>
      <rPr>
        <sz val="10"/>
        <rFont val="Times New Roman"/>
        <family val="1"/>
      </rPr>
      <t xml:space="preserve"> Koliko polaznika iz 13. primera ima br. bodova na testu veći od 70%?</t>
    </r>
  </si>
  <si>
    <t>Ispiši rečima da li učenik može da polaže (ako je punoletan i dioptrija je izmedju +1 i -1) .</t>
  </si>
  <si>
    <t>Dioptrija</t>
  </si>
  <si>
    <t>Polaže</t>
  </si>
  <si>
    <t>15.zadatak:</t>
  </si>
  <si>
    <t>16.zadatak:</t>
  </si>
  <si>
    <t>Koliko ucenika polaze maturu?</t>
  </si>
  <si>
    <t>Ako su učenici postigli rezultate prikazane u gornjoj tablici i ako:</t>
  </si>
  <si>
    <t>- imaju na ispitu manje od 25 bodova ili na vežbama manje od 5 bodova , onda NE PROLAZE</t>
  </si>
  <si>
    <t>- imaju na ispitu više od 25 bodova i na vežbama između 5 i 10 bodova, PONAVLJAJU samo VEŽBE</t>
  </si>
  <si>
    <t>- imaju na ispitu više od 25 bodova i na vežbama više od 10 bodova onda PROLAZE</t>
  </si>
  <si>
    <t>17. zadatak</t>
  </si>
  <si>
    <t>18. zadatak</t>
  </si>
  <si>
    <t>17. zadatak:</t>
  </si>
  <si>
    <t>18. zadatak:</t>
  </si>
  <si>
    <t>19. zadatak:</t>
  </si>
  <si>
    <t>20. zadatak:</t>
  </si>
  <si>
    <t>Koliko učenika iz 17. zadatka ima broj bodova na ispitu veći od 35 a manji od 50?</t>
  </si>
  <si>
    <r>
      <t>Koliki je ukupan broj bodova na ispitu (17. zad.) za one učenike koji na vežbama imaju manje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od 15 bodova?</t>
    </r>
  </si>
  <si>
    <t>Ispiši rečima da li je učenik oslobođen mature - sva 4 razreda mora biti odličan.</t>
  </si>
  <si>
    <t>1. raz.</t>
  </si>
  <si>
    <t>2. raz.</t>
  </si>
  <si>
    <t>3. raz.</t>
  </si>
  <si>
    <t>4. raz.</t>
  </si>
  <si>
    <t>MATURA</t>
  </si>
  <si>
    <t xml:space="preserve">21. zadatak:  </t>
  </si>
  <si>
    <t>22. zadatak</t>
  </si>
  <si>
    <t>A) uvecaj cenu za porez (20%)</t>
  </si>
  <si>
    <t>B) ako je cena sa porezom veca od 1000 din. umanji je za 5%</t>
  </si>
  <si>
    <t>C) ako je cena pod B) manja od 1500 din povecati je za 2%</t>
  </si>
  <si>
    <t>D) ako je cena C) veca od 1000 din i ako se placa cekom, povecati je za 3%</t>
  </si>
  <si>
    <t>cena</t>
  </si>
  <si>
    <t>nacin placanja</t>
  </si>
  <si>
    <t>C</t>
  </si>
  <si>
    <t>D</t>
  </si>
  <si>
    <t>E</t>
  </si>
  <si>
    <t>F</t>
  </si>
  <si>
    <t>gotovina</t>
  </si>
  <si>
    <t>cek</t>
  </si>
  <si>
    <t>E) ako je cena pod D) veca od 3000 ili ako se placa cekom umanjiti cenu za 7%</t>
  </si>
  <si>
    <t>E) ako je cena pod C) veca od 3000 ili ako se placa cekom umanjiti cenu za 7%</t>
  </si>
  <si>
    <t>F) u koloni E) saberi sve cene koje su vece od 500</t>
  </si>
  <si>
    <t>G) u koloni E) izbroj koliko polja ima vrednost manju od 1000</t>
  </si>
  <si>
    <t>Stanovi:</t>
  </si>
  <si>
    <t>Br. članova po stanu</t>
  </si>
  <si>
    <t>VODA</t>
  </si>
  <si>
    <t>STRUJA</t>
  </si>
  <si>
    <t>TELEFON</t>
  </si>
  <si>
    <t>G</t>
  </si>
  <si>
    <t>H</t>
  </si>
  <si>
    <t>1. Izračunaj koliko treba platiti VODU ako se plaća 46din po članu stana (ako je broj članova veći od 4 plaća se 60 din.)</t>
  </si>
  <si>
    <t>2. Izračunaj prosečne troškove vode struje i telefona po stanovima (A, B...)</t>
  </si>
  <si>
    <t>3. Izračunaj ukupna plaćanja  po vrstama troškova.</t>
  </si>
  <si>
    <t>4. Nađi najveći trošak za STRUJU.</t>
  </si>
  <si>
    <t>23. zadatak</t>
  </si>
  <si>
    <t>1. Izračunaj koliko treba platiti VODU ako se plaća 46din po članu stana (ako je broj članova veći od 4 plaća se samo 60 din.)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</si>
</sst>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.00_ ;\-#,##0.00\ "/>
    <numFmt numFmtId="181" formatCode="#,##0.00\ &quot;kn&quot;"/>
    <numFmt numFmtId="182" formatCode="#,##0.0_ ;\-#,##0.0\ "/>
    <numFmt numFmtId="183" formatCode="#,##0.000_ ;\-#,##0.000\ "/>
    <numFmt numFmtId="184" formatCode="#,##0.0000_ ;\-#,##0.0000\ "/>
    <numFmt numFmtId="185" formatCode="#,##0.00&quot;Din.&quot;"/>
    <numFmt numFmtId="186" formatCode="_-* #,##0.00\ [$€-1]_-;\-* #,##0.00\ [$€-1]_-;_-* &quot;-&quot;??\ [$€-1]_-;_-@_-"/>
    <numFmt numFmtId="187" formatCode="#,##0_ ;\-#,##0\ 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 vertical="justify"/>
    </xf>
    <xf numFmtId="0" fontId="5" fillId="0" borderId="17" xfId="0" applyFont="1" applyBorder="1" applyAlignment="1">
      <alignment vertical="justify"/>
    </xf>
    <xf numFmtId="184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vertical="justify"/>
    </xf>
    <xf numFmtId="0" fontId="5" fillId="0" borderId="21" xfId="0" applyFont="1" applyBorder="1" applyAlignment="1">
      <alignment vertical="justify"/>
    </xf>
    <xf numFmtId="184" fontId="5" fillId="0" borderId="26" xfId="0" applyNumberFormat="1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180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justify"/>
    </xf>
    <xf numFmtId="0" fontId="5" fillId="0" borderId="26" xfId="0" applyFont="1" applyBorder="1" applyAlignment="1">
      <alignment vertical="justify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justify"/>
    </xf>
    <xf numFmtId="0" fontId="4" fillId="0" borderId="38" xfId="0" applyFont="1" applyBorder="1" applyAlignment="1">
      <alignment horizontal="center" vertical="justify"/>
    </xf>
    <xf numFmtId="0" fontId="4" fillId="0" borderId="39" xfId="0" applyFont="1" applyBorder="1" applyAlignment="1">
      <alignment horizontal="center" vertical="justify"/>
    </xf>
    <xf numFmtId="0" fontId="4" fillId="0" borderId="40" xfId="0" applyFont="1" applyBorder="1" applyAlignment="1">
      <alignment horizontal="center" vertical="justify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80" fontId="5" fillId="0" borderId="4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6" xfId="0" applyNumberFormat="1" applyFont="1" applyBorder="1" applyAlignment="1">
      <alignment horizontal="center"/>
    </xf>
    <xf numFmtId="184" fontId="5" fillId="0" borderId="17" xfId="0" applyNumberFormat="1" applyFont="1" applyFill="1" applyBorder="1" applyAlignment="1">
      <alignment/>
    </xf>
    <xf numFmtId="184" fontId="5" fillId="0" borderId="21" xfId="0" applyNumberFormat="1" applyFont="1" applyFill="1" applyBorder="1" applyAlignment="1">
      <alignment/>
    </xf>
    <xf numFmtId="184" fontId="5" fillId="0" borderId="26" xfId="0" applyNumberFormat="1" applyFont="1" applyFill="1" applyBorder="1" applyAlignment="1">
      <alignment/>
    </xf>
    <xf numFmtId="184" fontId="5" fillId="0" borderId="43" xfId="0" applyNumberFormat="1" applyFont="1" applyBorder="1" applyAlignment="1">
      <alignment vertical="justify"/>
    </xf>
    <xf numFmtId="184" fontId="5" fillId="0" borderId="24" xfId="0" applyNumberFormat="1" applyFont="1" applyBorder="1" applyAlignment="1">
      <alignment vertical="justify"/>
    </xf>
    <xf numFmtId="184" fontId="5" fillId="0" borderId="29" xfId="0" applyNumberFormat="1" applyFont="1" applyBorder="1" applyAlignment="1">
      <alignment vertical="justify"/>
    </xf>
    <xf numFmtId="184" fontId="5" fillId="0" borderId="17" xfId="0" applyNumberFormat="1" applyFont="1" applyBorder="1" applyAlignment="1">
      <alignment vertical="justify"/>
    </xf>
    <xf numFmtId="184" fontId="5" fillId="0" borderId="21" xfId="0" applyNumberFormat="1" applyFont="1" applyBorder="1" applyAlignment="1">
      <alignment vertical="justify"/>
    </xf>
    <xf numFmtId="184" fontId="5" fillId="0" borderId="26" xfId="0" applyNumberFormat="1" applyFont="1" applyBorder="1" applyAlignment="1">
      <alignment vertical="justify"/>
    </xf>
    <xf numFmtId="0" fontId="5" fillId="0" borderId="43" xfId="0" applyFont="1" applyBorder="1" applyAlignment="1">
      <alignment vertical="justify"/>
    </xf>
    <xf numFmtId="0" fontId="5" fillId="0" borderId="24" xfId="0" applyFont="1" applyBorder="1" applyAlignment="1">
      <alignment vertical="justify"/>
    </xf>
    <xf numFmtId="0" fontId="5" fillId="0" borderId="29" xfId="0" applyFont="1" applyBorder="1" applyAlignment="1">
      <alignment vertical="justify"/>
    </xf>
    <xf numFmtId="0" fontId="5" fillId="0" borderId="44" xfId="0" applyFont="1" applyBorder="1" applyAlignment="1">
      <alignment vertical="justify"/>
    </xf>
    <xf numFmtId="0" fontId="5" fillId="0" borderId="22" xfId="0" applyFont="1" applyBorder="1" applyAlignment="1">
      <alignment vertical="justify"/>
    </xf>
    <xf numFmtId="0" fontId="5" fillId="0" borderId="27" xfId="0" applyFont="1" applyBorder="1" applyAlignment="1">
      <alignment vertical="justify"/>
    </xf>
    <xf numFmtId="0" fontId="5" fillId="0" borderId="4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>
      <alignment/>
    </xf>
    <xf numFmtId="0" fontId="0" fillId="33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33" borderId="45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1" xfId="0" applyBorder="1" applyAlignment="1">
      <alignment horizontal="lef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33" borderId="10" xfId="58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34" borderId="54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center"/>
    </xf>
    <xf numFmtId="0" fontId="10" fillId="35" borderId="58" xfId="0" applyFont="1" applyFill="1" applyBorder="1" applyAlignment="1">
      <alignment horizontal="center"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185" fontId="0" fillId="0" borderId="59" xfId="0" applyNumberFormat="1" applyBorder="1" applyAlignment="1">
      <alignment/>
    </xf>
    <xf numFmtId="0" fontId="0" fillId="33" borderId="60" xfId="0" applyFill="1" applyBorder="1" applyAlignment="1">
      <alignment/>
    </xf>
    <xf numFmtId="2" fontId="0" fillId="33" borderId="10" xfId="0" applyNumberFormat="1" applyFill="1" applyBorder="1" applyAlignment="1">
      <alignment/>
    </xf>
    <xf numFmtId="185" fontId="0" fillId="0" borderId="61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86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8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62" xfId="55" applyFont="1" applyBorder="1">
      <alignment/>
      <protection/>
    </xf>
    <xf numFmtId="0" fontId="0" fillId="0" borderId="63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59" xfId="55" applyFont="1" applyBorder="1">
      <alignment/>
      <protection/>
    </xf>
    <xf numFmtId="0" fontId="0" fillId="0" borderId="60" xfId="55" applyFont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61" xfId="55" applyFont="1" applyBorder="1">
      <alignment/>
      <protection/>
    </xf>
    <xf numFmtId="0" fontId="0" fillId="0" borderId="64" xfId="55" applyFont="1" applyBorder="1">
      <alignment/>
      <protection/>
    </xf>
    <xf numFmtId="0" fontId="3" fillId="0" borderId="0" xfId="55" applyFont="1">
      <alignment/>
      <protection/>
    </xf>
    <xf numFmtId="0" fontId="13" fillId="0" borderId="0" xfId="0" applyFont="1" applyFill="1" applyBorder="1" applyAlignment="1">
      <alignment/>
    </xf>
    <xf numFmtId="0" fontId="14" fillId="0" borderId="5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0" borderId="37" xfId="0" applyBorder="1" applyAlignment="1">
      <alignment/>
    </xf>
    <xf numFmtId="10" fontId="0" fillId="0" borderId="6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10" fontId="0" fillId="0" borderId="64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32" xfId="0" applyFill="1" applyBorder="1" applyAlignment="1">
      <alignment/>
    </xf>
    <xf numFmtId="10" fontId="0" fillId="0" borderId="24" xfId="0" applyNumberFormat="1" applyBorder="1" applyAlignment="1">
      <alignment/>
    </xf>
    <xf numFmtId="0" fontId="0" fillId="33" borderId="13" xfId="0" applyFill="1" applyBorder="1" applyAlignment="1">
      <alignment/>
    </xf>
    <xf numFmtId="10" fontId="0" fillId="0" borderId="19" xfId="0" applyNumberFormat="1" applyBorder="1" applyAlignment="1">
      <alignment/>
    </xf>
    <xf numFmtId="0" fontId="0" fillId="34" borderId="5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62" xfId="55" applyBorder="1">
      <alignment/>
      <protection/>
    </xf>
    <xf numFmtId="0" fontId="1" fillId="0" borderId="63" xfId="55" applyFont="1" applyBorder="1" applyAlignment="1">
      <alignment horizontal="center"/>
      <protection/>
    </xf>
    <xf numFmtId="0" fontId="1" fillId="0" borderId="12" xfId="55" applyFont="1" applyBorder="1">
      <alignment/>
      <protection/>
    </xf>
    <xf numFmtId="0" fontId="0" fillId="0" borderId="59" xfId="55" applyBorder="1">
      <alignment/>
      <protection/>
    </xf>
    <xf numFmtId="0" fontId="0" fillId="0" borderId="60" xfId="55" applyBorder="1">
      <alignment/>
      <protection/>
    </xf>
    <xf numFmtId="0" fontId="0" fillId="0" borderId="10" xfId="55" applyFill="1" applyBorder="1">
      <alignment/>
      <protection/>
    </xf>
    <xf numFmtId="0" fontId="0" fillId="0" borderId="61" xfId="55" applyBorder="1">
      <alignment/>
      <protection/>
    </xf>
    <xf numFmtId="0" fontId="0" fillId="0" borderId="64" xfId="55" applyBorder="1">
      <alignment/>
      <protection/>
    </xf>
    <xf numFmtId="0" fontId="0" fillId="0" borderId="11" xfId="55" applyBorder="1">
      <alignment/>
      <protection/>
    </xf>
    <xf numFmtId="0" fontId="0" fillId="33" borderId="10" xfId="55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0" fillId="0" borderId="52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3" fontId="0" fillId="33" borderId="13" xfId="0" applyNumberFormat="1" applyFont="1" applyFill="1" applyBorder="1" applyAlignment="1">
      <alignment/>
    </xf>
    <xf numFmtId="0" fontId="0" fillId="0" borderId="63" xfId="55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0" fillId="0" borderId="60" xfId="55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33" borderId="10" xfId="55" applyFill="1" applyBorder="1">
      <alignment/>
      <protection/>
    </xf>
    <xf numFmtId="0" fontId="0" fillId="0" borderId="64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16" fillId="0" borderId="0" xfId="0" applyFont="1" applyAlignment="1">
      <alignment/>
    </xf>
    <xf numFmtId="0" fontId="3" fillId="0" borderId="0" xfId="55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8" xfId="0" applyBorder="1" applyAlignment="1">
      <alignment horizontal="center" vertical="justify"/>
    </xf>
    <xf numFmtId="0" fontId="0" fillId="0" borderId="39" xfId="0" applyBorder="1" applyAlignment="1">
      <alignment horizontal="center" vertical="justify"/>
    </xf>
    <xf numFmtId="0" fontId="0" fillId="0" borderId="40" xfId="0" applyBorder="1" applyAlignment="1">
      <alignment horizontal="center" vertical="justify"/>
    </xf>
    <xf numFmtId="0" fontId="1" fillId="0" borderId="0" xfId="55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66" xfId="0" applyBorder="1" applyAlignment="1">
      <alignment horizontal="center" vertical="justify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34" borderId="71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72" xfId="0" applyFill="1" applyBorder="1" applyAlignment="1">
      <alignment horizontal="center"/>
    </xf>
    <xf numFmtId="4" fontId="0" fillId="33" borderId="60" xfId="0" applyNumberFormat="1" applyFill="1" applyBorder="1" applyAlignment="1">
      <alignment/>
    </xf>
    <xf numFmtId="187" fontId="0" fillId="0" borderId="10" xfId="0" applyNumberFormat="1" applyBorder="1" applyAlignment="1">
      <alignment horizontal="center"/>
    </xf>
    <xf numFmtId="4" fontId="0" fillId="33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4" borderId="73" xfId="0" applyFill="1" applyBorder="1" applyAlignment="1">
      <alignment horizontal="center"/>
    </xf>
    <xf numFmtId="4" fontId="0" fillId="0" borderId="60" xfId="0" applyNumberFormat="1" applyBorder="1" applyAlignment="1">
      <alignment/>
    </xf>
    <xf numFmtId="187" fontId="0" fillId="0" borderId="11" xfId="0" applyNumberFormat="1" applyBorder="1" applyAlignment="1">
      <alignment horizontal="center"/>
    </xf>
    <xf numFmtId="0" fontId="0" fillId="34" borderId="74" xfId="0" applyFill="1" applyBorder="1" applyAlignment="1">
      <alignment horizontal="center"/>
    </xf>
    <xf numFmtId="4" fontId="0" fillId="0" borderId="75" xfId="0" applyNumberFormat="1" applyBorder="1" applyAlignment="1">
      <alignment/>
    </xf>
    <xf numFmtId="187" fontId="0" fillId="0" borderId="51" xfId="0" applyNumberFormat="1" applyBorder="1" applyAlignment="1">
      <alignment horizontal="center"/>
    </xf>
    <xf numFmtId="187" fontId="0" fillId="33" borderId="11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2" fillId="0" borderId="76" xfId="0" applyFont="1" applyBorder="1" applyAlignment="1">
      <alignment/>
    </xf>
    <xf numFmtId="0" fontId="0" fillId="0" borderId="57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/>
    </xf>
    <xf numFmtId="0" fontId="2" fillId="36" borderId="77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33" borderId="52" xfId="55" applyFont="1" applyFill="1" applyBorder="1" applyAlignment="1">
      <alignment horizontal="center"/>
      <protection/>
    </xf>
    <xf numFmtId="0" fontId="0" fillId="33" borderId="64" xfId="55" applyFont="1" applyFill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64" xfId="0" applyBorder="1" applyAlignment="1">
      <alignment/>
    </xf>
    <xf numFmtId="0" fontId="13" fillId="0" borderId="0" xfId="0" applyFont="1" applyAlignment="1">
      <alignment horizontal="left"/>
    </xf>
    <xf numFmtId="0" fontId="13" fillId="0" borderId="79" xfId="0" applyFont="1" applyBorder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adac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7"/>
          <c:w val="0.80025"/>
          <c:h val="0.83825"/>
        </c:manualLayout>
      </c:layout>
      <c:lineChart>
        <c:grouping val="standard"/>
        <c:varyColors val="0"/>
        <c:ser>
          <c:idx val="0"/>
          <c:order val="0"/>
          <c:tx>
            <c:v>f(x)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2"/>
              <c:pt idx="0">
                <c:v>-1</c:v>
              </c:pt>
              <c:pt idx="1">
                <c:v>-0.9950041652780257</c:v>
              </c:pt>
              <c:pt idx="2">
                <c:v>-0.9800665778412416</c:v>
              </c:pt>
              <c:pt idx="3">
                <c:v>-0.9553364891256059</c:v>
              </c:pt>
              <c:pt idx="4">
                <c:v>-0.9210609940028849</c:v>
              </c:pt>
              <c:pt idx="5">
                <c:v>-0.8775825618903724</c:v>
              </c:pt>
              <c:pt idx="6">
                <c:v>-0.825335614909678</c:v>
              </c:pt>
              <c:pt idx="7">
                <c:v>-0.7648421872844882</c:v>
              </c:pt>
              <c:pt idx="8">
                <c:v>-0.696706709347165</c:v>
              </c:pt>
              <c:pt idx="9">
                <c:v>-0.6216099682706642</c:v>
              </c:pt>
              <c:pt idx="10">
                <c:v>-0.5403023058681394</c:v>
              </c:pt>
              <c:pt idx="11">
                <c:v>-0.45359612142557704</c:v>
              </c:pt>
              <c:pt idx="12">
                <c:v>-0.36235775447667323</c:v>
              </c:pt>
              <c:pt idx="13">
                <c:v>-0.26749882862458707</c:v>
              </c:pt>
              <c:pt idx="14">
                <c:v>-0.16996714290024062</c:v>
              </c:pt>
              <c:pt idx="15">
                <c:v>-0.07073720166770257</c:v>
              </c:pt>
              <c:pt idx="16">
                <c:v>0.02919952230128907</c:v>
              </c:pt>
              <c:pt idx="17">
                <c:v>0.12884449429552502</c:v>
              </c:pt>
              <c:pt idx="18">
                <c:v>0.22720209469308741</c:v>
              </c:pt>
              <c:pt idx="19">
                <c:v>0.32328956686350374</c:v>
              </c:pt>
              <c:pt idx="20">
                <c:v>0.41614683654714274</c:v>
              </c:pt>
              <c:pt idx="21">
                <c:v>0.5048461045998578</c:v>
              </c:pt>
              <c:pt idx="22">
                <c:v>0.588501117255346</c:v>
              </c:pt>
              <c:pt idx="23">
                <c:v>0.6662760212798244</c:v>
              </c:pt>
              <c:pt idx="24">
                <c:v>0.7373937155412457</c:v>
              </c:pt>
              <c:pt idx="25">
                <c:v>0.8011436155469339</c:v>
              </c:pt>
              <c:pt idx="26">
                <c:v>0.8568887533689474</c:v>
              </c:pt>
              <c:pt idx="27">
                <c:v>0.9040721420170613</c:v>
              </c:pt>
              <c:pt idx="28">
                <c:v>0.9422223406686583</c:v>
              </c:pt>
              <c:pt idx="29">
                <c:v>0.9709581651495907</c:v>
              </c:pt>
              <c:pt idx="30">
                <c:v>0.9899924966004455</c:v>
              </c:pt>
              <c:pt idx="31">
                <c:v>0.9991351502732795</c:v>
              </c:pt>
            </c:numLit>
          </c:val>
          <c:smooth val="0"/>
        </c:ser>
        <c:ser>
          <c:idx val="1"/>
          <c:order val="1"/>
          <c:tx>
            <c:v>g(x)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2"/>
              <c:pt idx="0">
                <c:v>-1.22514845490862E-16</c:v>
              </c:pt>
              <c:pt idx="1">
                <c:v>-0.19866933079506152</c:v>
              </c:pt>
              <c:pt idx="2">
                <c:v>-0.3894183423086509</c:v>
              </c:pt>
              <c:pt idx="3">
                <c:v>-0.5646424733950359</c:v>
              </c:pt>
              <c:pt idx="4">
                <c:v>-0.7173560908995233</c:v>
              </c:pt>
              <c:pt idx="5">
                <c:v>-0.8414709848078971</c:v>
              </c:pt>
              <c:pt idx="6">
                <c:v>-0.9320390859672267</c:v>
              </c:pt>
              <c:pt idx="7">
                <c:v>-0.9854497299884604</c:v>
              </c:pt>
              <c:pt idx="8">
                <c:v>-0.9995736030415051</c:v>
              </c:pt>
              <c:pt idx="9">
                <c:v>-0.973847630878195</c:v>
              </c:pt>
              <c:pt idx="10">
                <c:v>-0.9092974268256814</c:v>
              </c:pt>
              <c:pt idx="11">
                <c:v>-0.8084964038195898</c:v>
              </c:pt>
              <c:pt idx="12">
                <c:v>-0.6754631805511504</c:v>
              </c:pt>
              <c:pt idx="13">
                <c:v>-0.5155013718214637</c:v>
              </c:pt>
              <c:pt idx="14">
                <c:v>-0.3349881501559043</c:v>
              </c:pt>
              <c:pt idx="15">
                <c:v>-0.14112000805986655</c:v>
              </c:pt>
              <c:pt idx="16">
                <c:v>0.0583741434275806</c:v>
              </c:pt>
              <c:pt idx="17">
                <c:v>0.255541102026832</c:v>
              </c:pt>
              <c:pt idx="18">
                <c:v>0.442520443294853</c:v>
              </c:pt>
              <c:pt idx="19">
                <c:v>0.6118578909427197</c:v>
              </c:pt>
              <c:pt idx="20">
                <c:v>0.7568024953079288</c:v>
              </c:pt>
              <c:pt idx="21">
                <c:v>0.8715757724135884</c:v>
              </c:pt>
              <c:pt idx="22">
                <c:v>0.9516020738895161</c:v>
              </c:pt>
              <c:pt idx="23">
                <c:v>0.9936910036334645</c:v>
              </c:pt>
              <c:pt idx="24">
                <c:v>0.9961646088358406</c:v>
              </c:pt>
              <c:pt idx="25">
                <c:v>0.9589242746631383</c:v>
              </c:pt>
              <c:pt idx="26">
                <c:v>0.8834546557201529</c:v>
              </c:pt>
              <c:pt idx="27">
                <c:v>0.7727644875559868</c:v>
              </c:pt>
              <c:pt idx="28">
                <c:v>0.6312666378723205</c:v>
              </c:pt>
              <c:pt idx="29">
                <c:v>0.4646021794137561</c:v>
              </c:pt>
              <c:pt idx="30">
                <c:v>0.2794154981989245</c:v>
              </c:pt>
              <c:pt idx="31">
                <c:v>0.08308940281749495</c:v>
              </c:pt>
            </c:numLit>
          </c:val>
          <c:smooth val="0"/>
        </c:ser>
        <c:marker val="1"/>
        <c:axId val="35141279"/>
        <c:axId val="44201072"/>
      </c:lineChart>
      <c:catAx>
        <c:axId val="3514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072"/>
        <c:crosses val="autoZero"/>
        <c:auto val="1"/>
        <c:lblOffset val="100"/>
        <c:tickLblSkip val="3"/>
        <c:noMultiLvlLbl val="0"/>
      </c:catAx>
      <c:valAx>
        <c:axId val="44201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12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50375"/>
          <c:w val="0.14725"/>
          <c:h val="0.10725"/>
        </c:manualLayout>
      </c:layout>
      <c:overlay val="0"/>
      <c:spPr>
        <a:solidFill>
          <a:srgbClr val="FF00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85"/>
          <c:w val="0.80075"/>
          <c:h val="0.7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'4-resenje'!$B$23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'4-resenje'!$B$24:$B$55</c:f>
              <c:numCache/>
            </c:numRef>
          </c:yVal>
          <c:smooth val="1"/>
        </c:ser>
        <c:axId val="18368881"/>
        <c:axId val="27659938"/>
      </c:scatterChart>
      <c:valAx>
        <c:axId val="1836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9938"/>
        <c:crosses val="autoZero"/>
        <c:crossBetween val="midCat"/>
        <c:dispUnits/>
      </c:valAx>
      <c:valAx>
        <c:axId val="27659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888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52275"/>
          <c:w val="0.141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30</xdr:row>
      <xdr:rowOff>66675</xdr:rowOff>
    </xdr:from>
    <xdr:to>
      <xdr:col>11</xdr:col>
      <xdr:colOff>352425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2514600" y="5267325"/>
        <a:ext cx="4676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23</xdr:row>
      <xdr:rowOff>28575</xdr:rowOff>
    </xdr:from>
    <xdr:to>
      <xdr:col>8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71600" y="4257675"/>
        <a:ext cx="40576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37"/>
  <sheetViews>
    <sheetView tabSelected="1" zoomScalePageLayoutView="0" workbookViewId="0" topLeftCell="A1">
      <selection activeCell="A12" sqref="A12:N12"/>
    </sheetView>
  </sheetViews>
  <sheetFormatPr defaultColWidth="9.140625" defaultRowHeight="12.75"/>
  <cols>
    <col min="1" max="1" width="14.8515625" style="37" customWidth="1"/>
    <col min="2" max="2" width="7.7109375" style="37" customWidth="1"/>
    <col min="3" max="3" width="9.8515625" style="37" bestFit="1" customWidth="1"/>
    <col min="4" max="4" width="10.00390625" style="37" customWidth="1"/>
    <col min="5" max="5" width="5.7109375" style="37" bestFit="1" customWidth="1"/>
    <col min="6" max="6" width="7.57421875" style="37" customWidth="1"/>
    <col min="7" max="7" width="8.7109375" style="37" bestFit="1" customWidth="1"/>
    <col min="8" max="8" width="7.57421875" style="37" bestFit="1" customWidth="1"/>
    <col min="9" max="9" width="9.28125" style="37" bestFit="1" customWidth="1"/>
    <col min="10" max="10" width="9.7109375" style="37" customWidth="1"/>
    <col min="11" max="11" width="9.421875" style="37" customWidth="1"/>
    <col min="12" max="16384" width="9.140625" style="37" customWidth="1"/>
  </cols>
  <sheetData>
    <row r="1" s="43" customFormat="1" ht="12.75" thickBot="1">
      <c r="A1" s="42" t="s">
        <v>12</v>
      </c>
    </row>
    <row r="2" spans="1:16" ht="62.25" customHeight="1" thickBot="1">
      <c r="A2" s="13" t="s">
        <v>19</v>
      </c>
      <c r="B2" s="14" t="s">
        <v>20</v>
      </c>
      <c r="C2" s="14" t="s">
        <v>21</v>
      </c>
      <c r="D2" s="14" t="s">
        <v>28</v>
      </c>
      <c r="E2" s="14" t="s">
        <v>22</v>
      </c>
      <c r="F2" s="14" t="s">
        <v>40</v>
      </c>
      <c r="G2" s="14" t="s">
        <v>23</v>
      </c>
      <c r="H2" s="14" t="s">
        <v>24</v>
      </c>
      <c r="I2" s="14" t="s">
        <v>25</v>
      </c>
      <c r="J2" s="15" t="s">
        <v>26</v>
      </c>
      <c r="K2" s="16" t="s">
        <v>27</v>
      </c>
      <c r="L2" s="16" t="s">
        <v>29</v>
      </c>
      <c r="M2" s="13" t="s">
        <v>30</v>
      </c>
      <c r="N2" s="13" t="s">
        <v>39</v>
      </c>
      <c r="O2" s="35"/>
      <c r="P2" s="36"/>
    </row>
    <row r="3" spans="1:15" ht="12">
      <c r="A3" s="17">
        <v>28.5924</v>
      </c>
      <c r="B3" s="18">
        <v>12</v>
      </c>
      <c r="C3" s="18"/>
      <c r="D3" s="18"/>
      <c r="E3" s="19"/>
      <c r="F3" s="18"/>
      <c r="G3" s="18"/>
      <c r="H3" s="18"/>
      <c r="I3" s="20"/>
      <c r="J3" s="21"/>
      <c r="K3" s="21"/>
      <c r="L3" s="21"/>
      <c r="M3" s="40"/>
      <c r="N3" s="40"/>
      <c r="O3" s="38"/>
    </row>
    <row r="4" spans="1:15" ht="12">
      <c r="A4" s="23">
        <v>44.5536</v>
      </c>
      <c r="B4" s="24">
        <v>-36</v>
      </c>
      <c r="C4" s="24"/>
      <c r="D4" s="24"/>
      <c r="E4" s="25"/>
      <c r="F4" s="24"/>
      <c r="G4" s="24"/>
      <c r="H4" s="24"/>
      <c r="I4" s="26"/>
      <c r="J4" s="27"/>
      <c r="K4" s="27"/>
      <c r="L4" s="27"/>
      <c r="M4" s="28"/>
      <c r="N4" s="28"/>
      <c r="O4" s="38"/>
    </row>
    <row r="5" spans="1:15" ht="12">
      <c r="A5" s="23">
        <v>79.9924</v>
      </c>
      <c r="B5" s="24">
        <v>3</v>
      </c>
      <c r="C5" s="24"/>
      <c r="D5" s="24"/>
      <c r="E5" s="25"/>
      <c r="F5" s="24"/>
      <c r="G5" s="24"/>
      <c r="H5" s="24"/>
      <c r="I5" s="26"/>
      <c r="J5" s="27"/>
      <c r="K5" s="27"/>
      <c r="L5" s="27"/>
      <c r="M5" s="28"/>
      <c r="N5" s="28"/>
      <c r="O5" s="38"/>
    </row>
    <row r="6" spans="1:15" ht="12">
      <c r="A6" s="23">
        <v>76.4066</v>
      </c>
      <c r="B6" s="24">
        <v>-99.33</v>
      </c>
      <c r="C6" s="24"/>
      <c r="D6" s="24"/>
      <c r="E6" s="25"/>
      <c r="F6" s="24"/>
      <c r="G6" s="24"/>
      <c r="H6" s="24"/>
      <c r="I6" s="26"/>
      <c r="J6" s="27"/>
      <c r="K6" s="27"/>
      <c r="L6" s="27"/>
      <c r="M6" s="28"/>
      <c r="N6" s="28"/>
      <c r="O6" s="38"/>
    </row>
    <row r="7" spans="1:15" ht="12">
      <c r="A7" s="23">
        <v>53.93254</v>
      </c>
      <c r="B7" s="24">
        <v>3.6</v>
      </c>
      <c r="C7" s="24"/>
      <c r="D7" s="24"/>
      <c r="E7" s="25"/>
      <c r="F7" s="24"/>
      <c r="G7" s="24"/>
      <c r="H7" s="24"/>
      <c r="I7" s="26"/>
      <c r="J7" s="27"/>
      <c r="K7" s="27"/>
      <c r="L7" s="27"/>
      <c r="M7" s="28"/>
      <c r="N7" s="28"/>
      <c r="O7" s="38"/>
    </row>
    <row r="8" spans="1:15" ht="12">
      <c r="A8" s="23">
        <v>57.8654</v>
      </c>
      <c r="B8" s="24">
        <v>12.2</v>
      </c>
      <c r="C8" s="24"/>
      <c r="D8" s="24"/>
      <c r="E8" s="25"/>
      <c r="F8" s="24"/>
      <c r="G8" s="24"/>
      <c r="H8" s="24"/>
      <c r="I8" s="26"/>
      <c r="J8" s="27"/>
      <c r="K8" s="27"/>
      <c r="L8" s="27"/>
      <c r="M8" s="28"/>
      <c r="N8" s="28"/>
      <c r="O8" s="38"/>
    </row>
    <row r="9" spans="1:15" ht="12.75" thickBot="1">
      <c r="A9" s="29">
        <v>114.56</v>
      </c>
      <c r="B9" s="30">
        <v>-47.98</v>
      </c>
      <c r="C9" s="30"/>
      <c r="D9" s="30"/>
      <c r="E9" s="31"/>
      <c r="F9" s="30"/>
      <c r="G9" s="30"/>
      <c r="H9" s="30"/>
      <c r="I9" s="32"/>
      <c r="J9" s="33"/>
      <c r="K9" s="33"/>
      <c r="L9" s="33"/>
      <c r="M9" s="34"/>
      <c r="N9" s="34"/>
      <c r="O9" s="38"/>
    </row>
    <row r="10" spans="1:15" ht="12">
      <c r="A10" s="39"/>
      <c r="B10" s="39"/>
      <c r="C10" s="39"/>
      <c r="D10" s="39"/>
      <c r="E10" s="39"/>
      <c r="F10" s="39"/>
      <c r="G10" s="39"/>
      <c r="H10" s="39"/>
      <c r="J10" s="38"/>
      <c r="K10" s="38"/>
      <c r="L10" s="38"/>
      <c r="M10" s="38"/>
      <c r="N10" s="38"/>
      <c r="O10" s="38"/>
    </row>
    <row r="11" spans="1:15" ht="12">
      <c r="A11" s="44" t="s">
        <v>17</v>
      </c>
      <c r="B11" s="39"/>
      <c r="C11" s="39"/>
      <c r="D11" s="39"/>
      <c r="E11" s="39"/>
      <c r="F11" s="39"/>
      <c r="G11" s="39"/>
      <c r="H11" s="39"/>
      <c r="J11" s="38"/>
      <c r="K11" s="38"/>
      <c r="L11" s="38"/>
      <c r="M11" s="38"/>
      <c r="N11" s="38"/>
      <c r="O11" s="38"/>
    </row>
    <row r="12" spans="1:15" ht="12">
      <c r="A12" s="253" t="s">
        <v>37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38"/>
    </row>
    <row r="13" spans="1:15" ht="12.75" thickBot="1">
      <c r="A13" s="45"/>
      <c r="B13" s="39"/>
      <c r="C13" s="39"/>
      <c r="D13" s="39"/>
      <c r="E13" s="39"/>
      <c r="F13" s="39"/>
      <c r="G13" s="39"/>
      <c r="H13" s="39"/>
      <c r="J13" s="38"/>
      <c r="K13" s="38"/>
      <c r="L13" s="38"/>
      <c r="M13" s="38"/>
      <c r="N13" s="38"/>
      <c r="O13" s="38"/>
    </row>
    <row r="14" spans="1:4" s="41" customFormat="1" ht="24.75" thickBot="1">
      <c r="A14" s="55" t="s">
        <v>31</v>
      </c>
      <c r="B14" s="56" t="s">
        <v>32</v>
      </c>
      <c r="C14" s="56" t="s">
        <v>33</v>
      </c>
      <c r="D14" s="57" t="s">
        <v>36</v>
      </c>
    </row>
    <row r="15" spans="1:4" s="41" customFormat="1" ht="12">
      <c r="A15" s="52">
        <v>1</v>
      </c>
      <c r="B15" s="53">
        <v>1255</v>
      </c>
      <c r="C15" s="53" t="s">
        <v>34</v>
      </c>
      <c r="D15" s="54"/>
    </row>
    <row r="16" spans="1:4" s="41" customFormat="1" ht="12">
      <c r="A16" s="47">
        <v>2</v>
      </c>
      <c r="B16" s="46">
        <v>2354</v>
      </c>
      <c r="C16" s="46" t="s">
        <v>35</v>
      </c>
      <c r="D16" s="48"/>
    </row>
    <row r="17" spans="1:4" s="41" customFormat="1" ht="12">
      <c r="A17" s="47">
        <v>3</v>
      </c>
      <c r="B17" s="46">
        <v>545</v>
      </c>
      <c r="C17" s="46" t="s">
        <v>34</v>
      </c>
      <c r="D17" s="48"/>
    </row>
    <row r="18" spans="1:4" s="41" customFormat="1" ht="12">
      <c r="A18" s="47">
        <v>4</v>
      </c>
      <c r="B18" s="46">
        <v>221</v>
      </c>
      <c r="C18" s="46" t="s">
        <v>34</v>
      </c>
      <c r="D18" s="48"/>
    </row>
    <row r="19" spans="1:4" s="41" customFormat="1" ht="12">
      <c r="A19" s="47">
        <v>5</v>
      </c>
      <c r="B19" s="46">
        <v>1560</v>
      </c>
      <c r="C19" s="46" t="s">
        <v>35</v>
      </c>
      <c r="D19" s="48"/>
    </row>
    <row r="20" spans="1:4" s="41" customFormat="1" ht="12.75" thickBot="1">
      <c r="A20" s="49">
        <v>6</v>
      </c>
      <c r="B20" s="50">
        <v>925</v>
      </c>
      <c r="C20" s="50" t="s">
        <v>35</v>
      </c>
      <c r="D20" s="51"/>
    </row>
    <row r="21" s="41" customFormat="1" ht="12"/>
    <row r="22" spans="1:4" s="41" customFormat="1" ht="13.5" thickBot="1">
      <c r="A22" s="81" t="s">
        <v>41</v>
      </c>
      <c r="B22"/>
      <c r="C22"/>
      <c r="D22"/>
    </row>
    <row r="23" spans="1:4" s="41" customFormat="1" ht="26.25" thickBot="1">
      <c r="A23" s="82" t="s">
        <v>0</v>
      </c>
      <c r="B23" s="83" t="s">
        <v>1</v>
      </c>
      <c r="C23" s="83" t="s">
        <v>2</v>
      </c>
      <c r="D23" s="84" t="s">
        <v>3</v>
      </c>
    </row>
    <row r="24" spans="1:4" s="41" customFormat="1" ht="13.5" thickTop="1">
      <c r="A24" s="85" t="s">
        <v>4</v>
      </c>
      <c r="B24" s="2">
        <v>28.59</v>
      </c>
      <c r="C24" s="1">
        <v>2</v>
      </c>
      <c r="D24" s="86"/>
    </row>
    <row r="25" spans="1:4" s="41" customFormat="1" ht="12.75">
      <c r="A25" s="87" t="s">
        <v>5</v>
      </c>
      <c r="B25" s="4">
        <v>44.5</v>
      </c>
      <c r="C25" s="3">
        <v>5</v>
      </c>
      <c r="D25" s="88"/>
    </row>
    <row r="26" spans="1:4" s="41" customFormat="1" ht="12.75">
      <c r="A26" s="87" t="s">
        <v>6</v>
      </c>
      <c r="B26" s="4">
        <v>79.99</v>
      </c>
      <c r="C26" s="3">
        <v>1</v>
      </c>
      <c r="D26" s="88"/>
    </row>
    <row r="27" spans="1:4" s="41" customFormat="1" ht="12.75">
      <c r="A27" s="87" t="s">
        <v>7</v>
      </c>
      <c r="B27" s="4">
        <v>76.4</v>
      </c>
      <c r="C27" s="3">
        <v>4</v>
      </c>
      <c r="D27" s="88"/>
    </row>
    <row r="28" spans="1:4" ht="12.75">
      <c r="A28" s="87" t="s">
        <v>8</v>
      </c>
      <c r="B28" s="4">
        <v>53.9</v>
      </c>
      <c r="C28" s="3">
        <v>6</v>
      </c>
      <c r="D28" s="88"/>
    </row>
    <row r="29" spans="1:4" ht="12.75">
      <c r="A29" s="87" t="s">
        <v>9</v>
      </c>
      <c r="B29" s="4">
        <v>57.8</v>
      </c>
      <c r="C29" s="3">
        <v>3</v>
      </c>
      <c r="D29" s="88"/>
    </row>
    <row r="30" spans="1:4" ht="13.5" thickBot="1">
      <c r="A30" s="89" t="s">
        <v>10</v>
      </c>
      <c r="B30" s="6">
        <v>114.56</v>
      </c>
      <c r="C30" s="5">
        <v>2</v>
      </c>
      <c r="D30" s="90"/>
    </row>
    <row r="31" spans="1:4" ht="14.25" thickBot="1" thickTop="1">
      <c r="A31" s="251" t="s">
        <v>11</v>
      </c>
      <c r="B31" s="252"/>
      <c r="C31" s="252"/>
      <c r="D31" s="91"/>
    </row>
    <row r="32" spans="1:4" ht="12">
      <c r="A32" s="41"/>
      <c r="B32" s="41"/>
      <c r="C32" s="41"/>
      <c r="D32" s="41"/>
    </row>
    <row r="33" spans="1:4" ht="12">
      <c r="A33" s="41"/>
      <c r="B33" s="41"/>
      <c r="C33" s="41"/>
      <c r="D33" s="41"/>
    </row>
    <row r="34" spans="1:4" ht="12">
      <c r="A34" s="41"/>
      <c r="B34" s="41"/>
      <c r="C34" s="41"/>
      <c r="D34" s="41"/>
    </row>
    <row r="35" spans="1:4" ht="12">
      <c r="A35" s="41"/>
      <c r="B35" s="41"/>
      <c r="C35" s="41"/>
      <c r="D35" s="41"/>
    </row>
    <row r="36" spans="1:4" ht="12">
      <c r="A36" s="41"/>
      <c r="B36" s="41"/>
      <c r="C36" s="41"/>
      <c r="D36" s="41"/>
    </row>
    <row r="37" spans="1:4" ht="12">
      <c r="A37" s="41"/>
      <c r="B37" s="41"/>
      <c r="C37" s="41"/>
      <c r="D37" s="41"/>
    </row>
  </sheetData>
  <sheetProtection/>
  <mergeCells count="2">
    <mergeCell ref="A31:C31"/>
    <mergeCell ref="A12:N1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11.140625" style="0" customWidth="1"/>
  </cols>
  <sheetData>
    <row r="1" ht="12.75">
      <c r="A1" s="156" t="s">
        <v>125</v>
      </c>
    </row>
    <row r="2" ht="12.75">
      <c r="A2" s="156"/>
    </row>
    <row r="3" ht="12.75">
      <c r="A3" s="156"/>
    </row>
    <row r="4" spans="1:7" ht="26.25" thickBot="1">
      <c r="A4" s="157"/>
      <c r="B4" s="158" t="s">
        <v>112</v>
      </c>
      <c r="C4" s="159" t="s">
        <v>72</v>
      </c>
      <c r="E4" s="268" t="s">
        <v>113</v>
      </c>
      <c r="F4" s="269"/>
      <c r="G4" s="270"/>
    </row>
    <row r="5" spans="1:7" ht="13.5" thickTop="1">
      <c r="A5" s="160" t="s">
        <v>114</v>
      </c>
      <c r="B5" s="161">
        <v>0.76</v>
      </c>
      <c r="C5" s="162" t="str">
        <f>IF(B5&gt;90%,"odlican",IF(AND(B5&gt;80%,B5&lt;90%),"vrlodobar",IF(AND(B5&gt;65%,B5&lt;79%),"dobar",IF(AND(B5&gt;50%,B5&lt;64%),"dovoljan","nedovoljan"))))</f>
        <v>dobar</v>
      </c>
      <c r="E5" s="163" t="s">
        <v>115</v>
      </c>
      <c r="F5" s="107"/>
      <c r="G5" s="164"/>
    </row>
    <row r="6" spans="1:7" ht="12.75">
      <c r="A6" s="88" t="s">
        <v>116</v>
      </c>
      <c r="B6" s="165">
        <v>0.98</v>
      </c>
      <c r="C6" s="162" t="str">
        <f>IF(B6&gt;90%,"odlican",IF(AND(B6&gt;80%,B6&lt;90%),"vrlodobar",IF(AND(B6&gt;65%,B6&lt;79%),"dobar",IF(AND(B6&gt;50%,B6&lt;64%),"dovoljan","nedovoljan"))))</f>
        <v>odlican</v>
      </c>
      <c r="E6" s="166" t="s">
        <v>117</v>
      </c>
      <c r="F6" s="106"/>
      <c r="G6" s="167"/>
    </row>
    <row r="7" spans="1:7" ht="12.75">
      <c r="A7" s="88" t="s">
        <v>118</v>
      </c>
      <c r="B7" s="165">
        <v>0.48</v>
      </c>
      <c r="C7" s="162" t="str">
        <f>IF(B7&gt;90%,"odlican",IF(AND(B7&gt;80%,B7&lt;90%),"vrlodobar",IF(AND(B7&gt;65%,B7&lt;79%),"dobar",IF(AND(B7&gt;50%,B7&lt;64%),"dovoljan","nedovoljan"))))</f>
        <v>nedovoljan</v>
      </c>
      <c r="E7" s="166" t="s">
        <v>119</v>
      </c>
      <c r="F7" s="106"/>
      <c r="G7" s="167"/>
    </row>
    <row r="8" spans="1:7" ht="12.75">
      <c r="A8" s="168" t="s">
        <v>120</v>
      </c>
      <c r="B8" s="165">
        <v>0.84</v>
      </c>
      <c r="C8" s="162" t="str">
        <f>IF(B8&gt;90%,"odlican",IF(AND(B8&gt;80%,B8&lt;90%),"vrlodobar",IF(AND(B8&gt;65%,B8&lt;79%),"dobar",IF(AND(B8&gt;50%,B8&lt;64%),"dovoljan","nedovoljan"))))</f>
        <v>vrlodobar</v>
      </c>
      <c r="E8" s="166" t="s">
        <v>121</v>
      </c>
      <c r="F8" s="106"/>
      <c r="G8" s="167"/>
    </row>
    <row r="9" spans="1:7" ht="12.75">
      <c r="A9" s="168" t="s">
        <v>122</v>
      </c>
      <c r="B9" s="169">
        <v>0.55</v>
      </c>
      <c r="C9" s="162" t="str">
        <f>IF(B9&gt;90%,"odlican",IF(AND(B9&gt;80%,B9&lt;90%),"vrlodobar",IF(AND(B9&gt;65%,B9&lt;79%),"dobar",IF(AND(B9&gt;50%,B9&lt;64%),"dovoljan","nedovoljan"))))</f>
        <v>dovoljan</v>
      </c>
      <c r="E9" s="163" t="s">
        <v>123</v>
      </c>
      <c r="F9" s="107"/>
      <c r="G9" s="164"/>
    </row>
    <row r="10" ht="13.5" thickBot="1"/>
    <row r="11" spans="1:8" ht="13.5" thickBot="1">
      <c r="A11" s="271" t="s">
        <v>126</v>
      </c>
      <c r="B11" s="271"/>
      <c r="C11" s="271"/>
      <c r="D11" s="271"/>
      <c r="E11" s="271"/>
      <c r="F11" s="271"/>
      <c r="G11" s="272"/>
      <c r="H11" s="170">
        <f>COUNTIF(B5:B9,"&gt;70%")</f>
        <v>3</v>
      </c>
    </row>
    <row r="13" spans="1:6" ht="12.75">
      <c r="A13" s="155" t="s">
        <v>130</v>
      </c>
      <c r="B13" s="176"/>
      <c r="C13" s="176"/>
      <c r="D13" s="176"/>
      <c r="E13" s="176"/>
      <c r="F13" s="176"/>
    </row>
    <row r="14" spans="1:6" ht="12.75">
      <c r="A14" s="145" t="s">
        <v>127</v>
      </c>
      <c r="B14" s="176"/>
      <c r="C14" s="176"/>
      <c r="D14" s="176"/>
      <c r="E14" s="176"/>
      <c r="F14" s="176"/>
    </row>
    <row r="15" spans="1:6" ht="12.75">
      <c r="A15" s="176"/>
      <c r="B15" s="176"/>
      <c r="D15" s="177" t="s">
        <v>99</v>
      </c>
      <c r="E15" s="176"/>
      <c r="F15" s="176"/>
    </row>
    <row r="16" spans="1:6" ht="13.5" thickBot="1">
      <c r="A16" s="178"/>
      <c r="B16" s="179" t="s">
        <v>100</v>
      </c>
      <c r="C16" s="180" t="s">
        <v>128</v>
      </c>
      <c r="D16" s="180" t="s">
        <v>129</v>
      </c>
      <c r="E16" s="176"/>
      <c r="F16" s="176"/>
    </row>
    <row r="17" spans="1:6" ht="13.5" thickTop="1">
      <c r="A17" s="181" t="s">
        <v>102</v>
      </c>
      <c r="B17" s="182">
        <v>19</v>
      </c>
      <c r="C17" s="183">
        <v>0.5</v>
      </c>
      <c r="D17" s="187" t="str">
        <f>IF(AND(B17&gt;=18,C17&gt;-1,C17&lt;1),"da","ne")</f>
        <v>da</v>
      </c>
      <c r="E17" s="176"/>
      <c r="F17" s="176"/>
    </row>
    <row r="18" spans="1:6" ht="12.75">
      <c r="A18" s="184" t="s">
        <v>103</v>
      </c>
      <c r="B18" s="185">
        <v>17</v>
      </c>
      <c r="C18" s="186">
        <v>0</v>
      </c>
      <c r="D18" s="187" t="str">
        <f>IF(AND(B18&gt;=18,C18&gt;-1,C18&lt;1),"da","ne")</f>
        <v>ne</v>
      </c>
      <c r="E18" s="176"/>
      <c r="F18" s="176"/>
    </row>
    <row r="19" spans="1:6" ht="12.75">
      <c r="A19" s="184" t="s">
        <v>104</v>
      </c>
      <c r="B19" s="185">
        <v>19</v>
      </c>
      <c r="C19" s="186">
        <v>1.5</v>
      </c>
      <c r="D19" s="187" t="str">
        <f>IF(AND(B19&gt;=18,C19&gt;-1,C19&lt;1),"da","ne")</f>
        <v>ne</v>
      </c>
      <c r="E19" s="176"/>
      <c r="F19" s="176"/>
    </row>
    <row r="20" spans="1:6" ht="12.75">
      <c r="A20" s="184" t="s">
        <v>105</v>
      </c>
      <c r="B20" s="185">
        <v>18</v>
      </c>
      <c r="C20" s="186">
        <v>0</v>
      </c>
      <c r="D20" s="187" t="str">
        <f>IF(AND(B20&gt;=18,C20&gt;-1,C20&lt;1),"da","ne")</f>
        <v>da</v>
      </c>
      <c r="E20" s="176"/>
      <c r="F20" s="176"/>
    </row>
    <row r="21" spans="1:6" ht="12.75">
      <c r="A21" s="184" t="s">
        <v>106</v>
      </c>
      <c r="B21" s="185">
        <v>16</v>
      </c>
      <c r="C21" s="186">
        <v>-0.7</v>
      </c>
      <c r="D21" s="187" t="str">
        <f>IF(AND(B21&gt;=18,C21&gt;-1,C21&lt;1),"da","ne")</f>
        <v>ne</v>
      </c>
      <c r="E21" s="176"/>
      <c r="F21" s="176"/>
    </row>
    <row r="23" ht="13.5" thickBot="1">
      <c r="A23" s="7" t="s">
        <v>131</v>
      </c>
    </row>
    <row r="24" spans="1:4" ht="13.5" thickBot="1">
      <c r="A24" s="188" t="s">
        <v>132</v>
      </c>
      <c r="D24" s="170">
        <f>COUNTIF(D17:D21,"da")</f>
        <v>2</v>
      </c>
    </row>
  </sheetData>
  <sheetProtection/>
  <mergeCells count="2">
    <mergeCell ref="E4:G4"/>
    <mergeCell ref="A11:G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zoomScalePageLayoutView="0" workbookViewId="0" topLeftCell="A1">
      <selection activeCell="H28" sqref="H28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spans="1:9" ht="12.75">
      <c r="A1" s="7" t="s">
        <v>137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51.75" thickBot="1">
      <c r="A5" s="190" t="s">
        <v>15</v>
      </c>
      <c r="B5" s="190" t="s">
        <v>16</v>
      </c>
      <c r="C5" s="191" t="s">
        <v>139</v>
      </c>
      <c r="D5" s="192" t="s">
        <v>140</v>
      </c>
      <c r="E5" s="8"/>
      <c r="F5" s="8"/>
      <c r="G5" s="8"/>
      <c r="H5" s="8"/>
      <c r="I5" s="8"/>
    </row>
    <row r="6" spans="1:9" ht="13.5" thickTop="1">
      <c r="A6" s="193">
        <v>48</v>
      </c>
      <c r="B6" s="9">
        <v>15</v>
      </c>
      <c r="C6" s="194"/>
      <c r="D6" s="194"/>
      <c r="E6" s="8"/>
      <c r="F6" s="8"/>
      <c r="G6" s="8"/>
      <c r="H6" s="8"/>
      <c r="I6" s="8"/>
    </row>
    <row r="7" spans="1:9" ht="12.75">
      <c r="A7" s="195">
        <v>34</v>
      </c>
      <c r="B7" s="10">
        <v>17</v>
      </c>
      <c r="C7" s="194"/>
      <c r="D7" s="194"/>
      <c r="E7" s="8"/>
      <c r="F7" s="8"/>
      <c r="G7" s="8"/>
      <c r="H7" s="8"/>
      <c r="I7" s="8"/>
    </row>
    <row r="8" spans="1:9" ht="12.75">
      <c r="A8" s="195">
        <v>16</v>
      </c>
      <c r="B8" s="10">
        <v>6</v>
      </c>
      <c r="C8" s="194"/>
      <c r="D8" s="194"/>
      <c r="E8" s="8"/>
      <c r="F8" s="8"/>
      <c r="G8" s="8"/>
      <c r="H8" s="8"/>
      <c r="I8" s="8"/>
    </row>
    <row r="9" spans="1:9" ht="12.75">
      <c r="A9" s="195">
        <v>50</v>
      </c>
      <c r="B9" s="10">
        <v>19</v>
      </c>
      <c r="C9" s="194"/>
      <c r="D9" s="194"/>
      <c r="E9" s="8"/>
      <c r="F9" s="8"/>
      <c r="G9" s="8"/>
      <c r="H9" s="8"/>
      <c r="I9" s="8"/>
    </row>
    <row r="10" spans="1:9" ht="12.75">
      <c r="A10" s="195">
        <v>31</v>
      </c>
      <c r="B10" s="10">
        <v>3</v>
      </c>
      <c r="C10" s="194"/>
      <c r="D10" s="194"/>
      <c r="E10" s="8"/>
      <c r="F10" s="8"/>
      <c r="G10" s="8"/>
      <c r="H10" s="8"/>
      <c r="I10" s="8"/>
    </row>
    <row r="11" spans="1:9" ht="12.75">
      <c r="A11" s="195">
        <v>27</v>
      </c>
      <c r="B11" s="10">
        <v>34</v>
      </c>
      <c r="C11" s="194"/>
      <c r="D11" s="194"/>
      <c r="E11" s="8"/>
      <c r="F11" s="8"/>
      <c r="G11" s="8"/>
      <c r="H11" s="8"/>
      <c r="I11" s="8"/>
    </row>
    <row r="12" spans="1:9" ht="12.75">
      <c r="A12" s="11"/>
      <c r="B12" s="12"/>
      <c r="C12" s="8"/>
      <c r="D12" s="8"/>
      <c r="E12" s="8"/>
      <c r="F12" s="8"/>
      <c r="G12" s="8"/>
      <c r="H12" s="8"/>
      <c r="I12" s="8"/>
    </row>
    <row r="13" spans="1:9" ht="12.75">
      <c r="A13" s="7" t="s">
        <v>138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133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196" t="s">
        <v>134</v>
      </c>
      <c r="C15" s="8"/>
      <c r="D15" s="8"/>
      <c r="E15" s="8"/>
      <c r="F15" s="8"/>
      <c r="G15" s="8"/>
      <c r="H15" s="8"/>
      <c r="I15" s="8"/>
    </row>
    <row r="16" spans="1:9" ht="12.75">
      <c r="A16" s="7"/>
      <c r="B16" s="196" t="s">
        <v>135</v>
      </c>
      <c r="C16" s="8"/>
      <c r="D16" s="8"/>
      <c r="E16" s="8"/>
      <c r="F16" s="8"/>
      <c r="G16" s="8"/>
      <c r="H16" s="8"/>
      <c r="I16" s="8"/>
    </row>
    <row r="17" spans="1:9" ht="12.75">
      <c r="A17" s="7"/>
      <c r="B17" s="196" t="s">
        <v>136</v>
      </c>
      <c r="C17" s="8"/>
      <c r="D17" s="8"/>
      <c r="E17" s="8"/>
      <c r="F17" s="8"/>
      <c r="G17" s="8"/>
      <c r="H17" s="8"/>
      <c r="I17" s="8"/>
    </row>
    <row r="19" spans="1:9" ht="12.75">
      <c r="A19" s="7" t="s">
        <v>141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8" t="s">
        <v>143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7" t="s">
        <v>142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8" t="s">
        <v>144</v>
      </c>
      <c r="B24" s="8"/>
      <c r="C24" s="8"/>
      <c r="D24" s="8"/>
      <c r="E24" s="8"/>
      <c r="F24" s="8"/>
      <c r="G24" s="8"/>
      <c r="H24" s="8"/>
      <c r="I24" s="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24"/>
  <sheetViews>
    <sheetView zoomScalePageLayoutView="0" workbookViewId="0" topLeftCell="A1">
      <selection activeCell="K24" sqref="K24"/>
    </sheetView>
  </sheetViews>
  <sheetFormatPr defaultColWidth="9.140625" defaultRowHeight="12.75"/>
  <cols>
    <col min="3" max="3" width="12.57421875" style="0" customWidth="1"/>
    <col min="4" max="4" width="11.7109375" style="0" customWidth="1"/>
  </cols>
  <sheetData>
    <row r="1" spans="1:9" ht="12.75">
      <c r="A1" s="7" t="s">
        <v>137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51.75" thickBot="1">
      <c r="A5" s="190" t="s">
        <v>15</v>
      </c>
      <c r="B5" s="190" t="s">
        <v>16</v>
      </c>
      <c r="C5" s="191" t="s">
        <v>139</v>
      </c>
      <c r="D5" s="192" t="s">
        <v>140</v>
      </c>
      <c r="E5" s="8"/>
      <c r="F5" s="8"/>
      <c r="G5" s="8"/>
      <c r="H5" s="8"/>
      <c r="I5" s="8"/>
    </row>
    <row r="6" spans="1:9" ht="13.5" thickTop="1">
      <c r="A6" s="193">
        <v>48</v>
      </c>
      <c r="B6" s="9">
        <v>15</v>
      </c>
      <c r="C6" s="194">
        <f aca="true" t="shared" si="0" ref="C6:C11">IF((A6+B6)&gt;65,A6+B6+3,A6+B6)</f>
        <v>63</v>
      </c>
      <c r="D6" s="194" t="str">
        <f aca="true" t="shared" si="1" ref="D6:D11">IF(OR(A6&lt;25,B6&lt;5),"ne prolaze",IF(AND(A6&gt;25,B6&lt;10,B6&gt;5),"ponavljaju samo vezbe","prolaze"))</f>
        <v>prolaze</v>
      </c>
      <c r="E6" s="8"/>
      <c r="F6" s="8"/>
      <c r="G6" s="8"/>
      <c r="H6" s="8"/>
      <c r="I6" s="8"/>
    </row>
    <row r="7" spans="1:9" ht="12.75">
      <c r="A7" s="195">
        <v>34</v>
      </c>
      <c r="B7" s="10">
        <v>17</v>
      </c>
      <c r="C7" s="194">
        <f t="shared" si="0"/>
        <v>51</v>
      </c>
      <c r="D7" s="194" t="str">
        <f t="shared" si="1"/>
        <v>prolaze</v>
      </c>
      <c r="E7" s="8"/>
      <c r="F7" s="8"/>
      <c r="G7" s="8"/>
      <c r="H7" s="8"/>
      <c r="I7" s="8"/>
    </row>
    <row r="8" spans="1:9" ht="12.75">
      <c r="A8" s="195">
        <v>16</v>
      </c>
      <c r="B8" s="10">
        <v>6</v>
      </c>
      <c r="C8" s="194">
        <f t="shared" si="0"/>
        <v>22</v>
      </c>
      <c r="D8" s="194" t="str">
        <f t="shared" si="1"/>
        <v>ne prolaze</v>
      </c>
      <c r="E8" s="8"/>
      <c r="F8" s="8"/>
      <c r="G8" s="8"/>
      <c r="H8" s="8"/>
      <c r="I8" s="8"/>
    </row>
    <row r="9" spans="1:9" ht="12.75">
      <c r="A9" s="195">
        <v>50</v>
      </c>
      <c r="B9" s="10">
        <v>19</v>
      </c>
      <c r="C9" s="194">
        <f t="shared" si="0"/>
        <v>72</v>
      </c>
      <c r="D9" s="194" t="str">
        <f t="shared" si="1"/>
        <v>prolaze</v>
      </c>
      <c r="E9" s="8"/>
      <c r="F9" s="8"/>
      <c r="G9" s="8"/>
      <c r="H9" s="8"/>
      <c r="I9" s="8"/>
    </row>
    <row r="10" spans="1:9" ht="12.75">
      <c r="A10" s="195">
        <v>31</v>
      </c>
      <c r="B10" s="10">
        <v>3</v>
      </c>
      <c r="C10" s="194">
        <f t="shared" si="0"/>
        <v>34</v>
      </c>
      <c r="D10" s="194" t="str">
        <f t="shared" si="1"/>
        <v>ne prolaze</v>
      </c>
      <c r="E10" s="8"/>
      <c r="F10" s="8"/>
      <c r="G10" s="8"/>
      <c r="H10" s="8"/>
      <c r="I10" s="8"/>
    </row>
    <row r="11" spans="1:9" ht="12.75">
      <c r="A11" s="195">
        <v>27</v>
      </c>
      <c r="B11" s="10">
        <v>34</v>
      </c>
      <c r="C11" s="194">
        <f t="shared" si="0"/>
        <v>61</v>
      </c>
      <c r="D11" s="194" t="str">
        <f t="shared" si="1"/>
        <v>prolaze</v>
      </c>
      <c r="E11" s="8"/>
      <c r="F11" s="8"/>
      <c r="G11" s="8"/>
      <c r="H11" s="8"/>
      <c r="I11" s="8"/>
    </row>
    <row r="12" spans="1:9" ht="12.75">
      <c r="A12" s="11"/>
      <c r="B12" s="12"/>
      <c r="C12" s="8"/>
      <c r="D12" s="8"/>
      <c r="E12" s="8"/>
      <c r="F12" s="8"/>
      <c r="G12" s="8"/>
      <c r="H12" s="8"/>
      <c r="I12" s="8"/>
    </row>
    <row r="13" spans="1:9" ht="12.75">
      <c r="A13" s="7" t="s">
        <v>138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8" t="s">
        <v>133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196" t="s">
        <v>134</v>
      </c>
      <c r="C15" s="8"/>
      <c r="D15" s="8"/>
      <c r="E15" s="8"/>
      <c r="F15" s="8"/>
      <c r="G15" s="8"/>
      <c r="H15" s="8"/>
      <c r="I15" s="8"/>
    </row>
    <row r="16" spans="1:9" ht="12.75">
      <c r="A16" s="7"/>
      <c r="B16" s="196" t="s">
        <v>135</v>
      </c>
      <c r="C16" s="8"/>
      <c r="D16" s="8"/>
      <c r="E16" s="8"/>
      <c r="F16" s="8"/>
      <c r="G16" s="8"/>
      <c r="H16" s="8"/>
      <c r="I16" s="8"/>
    </row>
    <row r="17" spans="1:9" ht="12.75">
      <c r="A17" s="7"/>
      <c r="B17" s="196" t="s">
        <v>136</v>
      </c>
      <c r="C17" s="8"/>
      <c r="D17" s="8"/>
      <c r="E17" s="8"/>
      <c r="F17" s="8"/>
      <c r="G17" s="8"/>
      <c r="H17" s="8"/>
      <c r="I17" s="8"/>
    </row>
    <row r="19" spans="1:9" ht="13.5" thickBot="1">
      <c r="A19" s="7" t="s">
        <v>141</v>
      </c>
      <c r="B19" s="8"/>
      <c r="C19" s="8"/>
      <c r="D19" s="8"/>
      <c r="E19" s="8"/>
      <c r="F19" s="8"/>
      <c r="G19" s="8"/>
      <c r="H19" s="8"/>
      <c r="I19" s="8"/>
    </row>
    <row r="20" spans="1:9" ht="13.5" thickBot="1">
      <c r="A20" s="8" t="s">
        <v>143</v>
      </c>
      <c r="B20" s="8"/>
      <c r="C20" s="8"/>
      <c r="D20" s="8"/>
      <c r="E20" s="8"/>
      <c r="F20" s="8"/>
      <c r="G20" s="8"/>
      <c r="H20" s="197">
        <f>COUNTIF(A6:A11,"&lt;50")-COUNTIF(A6:A11,"&lt;35")</f>
        <v>1</v>
      </c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3.5" thickBot="1">
      <c r="A23" s="7" t="s">
        <v>142</v>
      </c>
      <c r="B23" s="8"/>
      <c r="C23" s="8"/>
      <c r="D23" s="8"/>
      <c r="E23" s="8"/>
      <c r="F23" s="8"/>
      <c r="G23" s="8"/>
      <c r="H23" s="8"/>
      <c r="I23" s="8"/>
    </row>
    <row r="24" spans="1:11" ht="13.5" thickBot="1">
      <c r="A24" s="8" t="s">
        <v>144</v>
      </c>
      <c r="B24" s="8"/>
      <c r="C24" s="8"/>
      <c r="D24" s="8"/>
      <c r="E24" s="8"/>
      <c r="F24" s="8"/>
      <c r="G24" s="8"/>
      <c r="H24" s="8"/>
      <c r="I24" s="8"/>
      <c r="K24" s="170">
        <f>SUMIF(B6:B11,"&lt;15",C6:C11)</f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L23"/>
  <sheetViews>
    <sheetView zoomScalePageLayoutView="0" workbookViewId="0" topLeftCell="A1">
      <selection activeCell="J29" sqref="J29"/>
    </sheetView>
  </sheetViews>
  <sheetFormatPr defaultColWidth="9.140625" defaultRowHeight="12.75"/>
  <cols>
    <col min="6" max="7" width="9.8515625" style="0" customWidth="1"/>
    <col min="8" max="8" width="11.57421875" style="0" customWidth="1"/>
  </cols>
  <sheetData>
    <row r="1" ht="12.75">
      <c r="A1" s="206" t="s">
        <v>151</v>
      </c>
    </row>
    <row r="2" spans="1:7" ht="12.75">
      <c r="A2" s="145" t="s">
        <v>145</v>
      </c>
      <c r="B2" s="176"/>
      <c r="C2" s="176"/>
      <c r="D2" s="176"/>
      <c r="E2" s="176"/>
      <c r="F2" s="176"/>
      <c r="G2" s="176"/>
    </row>
    <row r="3" spans="1:7" ht="12.75">
      <c r="A3" s="176"/>
      <c r="B3" s="176"/>
      <c r="C3" s="176"/>
      <c r="D3" s="176"/>
      <c r="E3" s="176"/>
      <c r="F3" s="177" t="s">
        <v>99</v>
      </c>
      <c r="G3" s="177"/>
    </row>
    <row r="4" spans="1:7" ht="13.5" thickBot="1">
      <c r="A4" s="178"/>
      <c r="B4" s="198" t="s">
        <v>146</v>
      </c>
      <c r="C4" s="199" t="s">
        <v>147</v>
      </c>
      <c r="D4" s="199" t="s">
        <v>148</v>
      </c>
      <c r="E4" s="199" t="s">
        <v>149</v>
      </c>
      <c r="F4" s="200" t="s">
        <v>150</v>
      </c>
      <c r="G4" s="213"/>
    </row>
    <row r="5" spans="1:7" ht="13.5" thickTop="1">
      <c r="A5" s="181" t="s">
        <v>102</v>
      </c>
      <c r="B5" s="201">
        <v>5</v>
      </c>
      <c r="C5" s="202">
        <v>4</v>
      </c>
      <c r="D5" s="202">
        <v>4</v>
      </c>
      <c r="E5" s="202">
        <v>5</v>
      </c>
      <c r="F5" s="203"/>
      <c r="G5" s="188"/>
    </row>
    <row r="6" spans="1:7" ht="12.75">
      <c r="A6" s="184" t="s">
        <v>103</v>
      </c>
      <c r="B6" s="204">
        <v>3</v>
      </c>
      <c r="C6" s="205">
        <v>3</v>
      </c>
      <c r="D6" s="205">
        <v>3</v>
      </c>
      <c r="E6" s="205">
        <v>3</v>
      </c>
      <c r="F6" s="186"/>
      <c r="G6" s="214"/>
    </row>
    <row r="7" spans="1:7" ht="12.75">
      <c r="A7" s="184" t="s">
        <v>104</v>
      </c>
      <c r="B7" s="204">
        <v>4</v>
      </c>
      <c r="C7" s="205">
        <v>4</v>
      </c>
      <c r="D7" s="205">
        <v>2</v>
      </c>
      <c r="E7" s="205">
        <v>2</v>
      </c>
      <c r="F7" s="186"/>
      <c r="G7" s="214"/>
    </row>
    <row r="8" spans="1:7" ht="12.75">
      <c r="A8" s="184" t="s">
        <v>105</v>
      </c>
      <c r="B8" s="204">
        <v>5</v>
      </c>
      <c r="C8" s="205">
        <v>5</v>
      </c>
      <c r="D8" s="205">
        <v>5</v>
      </c>
      <c r="E8" s="205">
        <v>5</v>
      </c>
      <c r="F8" s="186"/>
      <c r="G8" s="214"/>
    </row>
    <row r="9" spans="1:7" ht="12.75">
      <c r="A9" s="184" t="s">
        <v>106</v>
      </c>
      <c r="B9" s="204">
        <v>4</v>
      </c>
      <c r="C9" s="205">
        <v>4</v>
      </c>
      <c r="D9" s="205">
        <v>4</v>
      </c>
      <c r="E9" s="205">
        <v>5</v>
      </c>
      <c r="F9" s="186"/>
      <c r="G9" s="214"/>
    </row>
    <row r="11" ht="12.75">
      <c r="A11" s="207" t="s">
        <v>152</v>
      </c>
    </row>
    <row r="12" spans="2:12" s="209" customFormat="1" ht="12.75">
      <c r="B12" s="273" t="s">
        <v>153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2:12" s="209" customFormat="1" ht="12.75">
      <c r="B13" s="273" t="s">
        <v>154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</row>
    <row r="14" spans="2:12" s="209" customFormat="1" ht="12.75">
      <c r="B14" s="273" t="s">
        <v>155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2:12" s="209" customFormat="1" ht="12.75">
      <c r="B15" s="273" t="s">
        <v>156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</row>
    <row r="16" spans="2:12" s="209" customFormat="1" ht="12.75">
      <c r="B16" s="273" t="s">
        <v>165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="209" customFormat="1" ht="13.5" thickBot="1"/>
    <row r="18" spans="1:8" s="208" customFormat="1" ht="26.25" thickBot="1">
      <c r="A18" s="210" t="s">
        <v>157</v>
      </c>
      <c r="B18" s="211" t="s">
        <v>158</v>
      </c>
      <c r="C18" s="211" t="s">
        <v>19</v>
      </c>
      <c r="D18" s="211" t="s">
        <v>20</v>
      </c>
      <c r="E18" s="211" t="s">
        <v>159</v>
      </c>
      <c r="F18" s="211" t="s">
        <v>160</v>
      </c>
      <c r="G18" s="215" t="s">
        <v>161</v>
      </c>
      <c r="H18" s="212" t="s">
        <v>162</v>
      </c>
    </row>
    <row r="19" spans="1:8" s="208" customFormat="1" ht="12.75">
      <c r="A19" s="216">
        <v>2950</v>
      </c>
      <c r="B19" s="217" t="s">
        <v>164</v>
      </c>
      <c r="C19" s="217"/>
      <c r="D19" s="217"/>
      <c r="E19" s="217"/>
      <c r="F19" s="217"/>
      <c r="G19" s="218"/>
      <c r="H19" s="219"/>
    </row>
    <row r="20" spans="1:8" s="208" customFormat="1" ht="12.75">
      <c r="A20" s="220">
        <v>600</v>
      </c>
      <c r="B20" s="221" t="s">
        <v>164</v>
      </c>
      <c r="C20" s="221"/>
      <c r="D20" s="221"/>
      <c r="E20" s="221"/>
      <c r="F20" s="221"/>
      <c r="G20" s="189"/>
      <c r="H20" s="222"/>
    </row>
    <row r="21" spans="1:8" s="208" customFormat="1" ht="12.75">
      <c r="A21" s="220">
        <v>1500</v>
      </c>
      <c r="B21" s="221" t="s">
        <v>163</v>
      </c>
      <c r="C21" s="221"/>
      <c r="D21" s="221"/>
      <c r="E21" s="221"/>
      <c r="F21" s="221"/>
      <c r="G21" s="189"/>
      <c r="H21" s="222"/>
    </row>
    <row r="22" spans="1:8" s="208" customFormat="1" ht="12.75">
      <c r="A22" s="220">
        <v>150</v>
      </c>
      <c r="B22" s="221" t="s">
        <v>163</v>
      </c>
      <c r="C22" s="221"/>
      <c r="D22" s="221"/>
      <c r="E22" s="221"/>
      <c r="F22" s="221"/>
      <c r="G22" s="189"/>
      <c r="H22" s="222"/>
    </row>
    <row r="23" spans="1:8" s="208" customFormat="1" ht="13.5" thickBot="1">
      <c r="A23" s="223">
        <v>350</v>
      </c>
      <c r="B23" s="224" t="s">
        <v>164</v>
      </c>
      <c r="C23" s="224"/>
      <c r="D23" s="224"/>
      <c r="E23" s="224"/>
      <c r="F23" s="224"/>
      <c r="G23" s="225"/>
      <c r="H23" s="226"/>
    </row>
    <row r="24" s="209" customFormat="1" ht="12.75"/>
    <row r="25" s="209" customFormat="1" ht="12.75"/>
  </sheetData>
  <sheetProtection/>
  <mergeCells count="5">
    <mergeCell ref="B16:L16"/>
    <mergeCell ref="B12:L12"/>
    <mergeCell ref="B13:L13"/>
    <mergeCell ref="B14:L14"/>
    <mergeCell ref="B15:L1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L26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s="206" t="s">
        <v>151</v>
      </c>
    </row>
    <row r="2" spans="1:6" ht="12.75">
      <c r="A2" s="145" t="s">
        <v>145</v>
      </c>
      <c r="B2" s="176"/>
      <c r="C2" s="176"/>
      <c r="D2" s="176"/>
      <c r="E2" s="176"/>
      <c r="F2" s="176"/>
    </row>
    <row r="3" spans="1:6" ht="12.75">
      <c r="A3" s="176"/>
      <c r="B3" s="176"/>
      <c r="C3" s="176"/>
      <c r="D3" s="176"/>
      <c r="E3" s="176"/>
      <c r="F3" s="177" t="s">
        <v>99</v>
      </c>
    </row>
    <row r="4" spans="1:6" ht="13.5" thickBot="1">
      <c r="A4" s="178"/>
      <c r="B4" s="198" t="s">
        <v>146</v>
      </c>
      <c r="C4" s="199" t="s">
        <v>147</v>
      </c>
      <c r="D4" s="199" t="s">
        <v>148</v>
      </c>
      <c r="E4" s="199" t="s">
        <v>149</v>
      </c>
      <c r="F4" s="200" t="s">
        <v>150</v>
      </c>
    </row>
    <row r="5" spans="1:6" ht="13.5" thickTop="1">
      <c r="A5" s="181" t="s">
        <v>102</v>
      </c>
      <c r="B5" s="201">
        <v>5</v>
      </c>
      <c r="C5" s="202">
        <v>4</v>
      </c>
      <c r="D5" s="202">
        <v>4</v>
      </c>
      <c r="E5" s="202">
        <v>5</v>
      </c>
      <c r="F5" s="203" t="str">
        <f>IF(AND(B5=5,C5=5,D5=5,E5=5),"da","ne")</f>
        <v>ne</v>
      </c>
    </row>
    <row r="6" spans="1:6" ht="12.75">
      <c r="A6" s="184" t="s">
        <v>103</v>
      </c>
      <c r="B6" s="204">
        <v>3</v>
      </c>
      <c r="C6" s="205">
        <v>3</v>
      </c>
      <c r="D6" s="205">
        <v>3</v>
      </c>
      <c r="E6" s="205">
        <v>3</v>
      </c>
      <c r="F6" s="203" t="str">
        <f>IF(AND(B6=5,C6=5,D6=5,E6=5),"da","ne")</f>
        <v>ne</v>
      </c>
    </row>
    <row r="7" spans="1:6" ht="12.75">
      <c r="A7" s="184" t="s">
        <v>104</v>
      </c>
      <c r="B7" s="204">
        <v>4</v>
      </c>
      <c r="C7" s="205">
        <v>4</v>
      </c>
      <c r="D7" s="205">
        <v>2</v>
      </c>
      <c r="E7" s="205">
        <v>2</v>
      </c>
      <c r="F7" s="203" t="str">
        <f>IF(AND(B7=5,C7=5,D7=5,E7=5),"da","ne")</f>
        <v>ne</v>
      </c>
    </row>
    <row r="8" spans="1:6" ht="12.75">
      <c r="A8" s="184" t="s">
        <v>105</v>
      </c>
      <c r="B8" s="204">
        <v>5</v>
      </c>
      <c r="C8" s="205">
        <v>5</v>
      </c>
      <c r="D8" s="205">
        <v>5</v>
      </c>
      <c r="E8" s="205">
        <v>5</v>
      </c>
      <c r="F8" s="203" t="str">
        <f>IF(AND(B8=5,C8=5,D8=5,E8=5),"da","ne")</f>
        <v>da</v>
      </c>
    </row>
    <row r="9" spans="1:6" ht="12.75">
      <c r="A9" s="184" t="s">
        <v>106</v>
      </c>
      <c r="B9" s="204">
        <v>4</v>
      </c>
      <c r="C9" s="205">
        <v>4</v>
      </c>
      <c r="D9" s="205">
        <v>4</v>
      </c>
      <c r="E9" s="205">
        <v>5</v>
      </c>
      <c r="F9" s="203" t="str">
        <f>IF(AND(B9=5,C9=5,D9=5,E9=5),"da","ne")</f>
        <v>ne</v>
      </c>
    </row>
    <row r="11" ht="12.75">
      <c r="A11" s="207" t="s">
        <v>152</v>
      </c>
    </row>
    <row r="12" spans="1:12" ht="12.75">
      <c r="A12" s="209"/>
      <c r="B12" s="273" t="s">
        <v>153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1:12" ht="12.75">
      <c r="A13" s="209"/>
      <c r="B13" s="273" t="s">
        <v>154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</row>
    <row r="14" spans="1:12" ht="12.75">
      <c r="A14" s="209"/>
      <c r="B14" s="273" t="s">
        <v>155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1:12" ht="12.75">
      <c r="A15" s="209"/>
      <c r="B15" s="273" t="s">
        <v>156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</row>
    <row r="16" spans="1:12" ht="12.75">
      <c r="A16" s="209"/>
      <c r="B16" s="273" t="s">
        <v>166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1:12" ht="13.5" thickBo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ht="13.5" thickBot="1">
      <c r="A18" s="209"/>
      <c r="B18" s="227" t="s">
        <v>167</v>
      </c>
      <c r="C18" s="227"/>
      <c r="D18" s="227"/>
      <c r="E18" s="227"/>
      <c r="F18" s="227"/>
      <c r="G18" s="228">
        <f>SUMIF(G22:G26,"&gt;500")</f>
        <v>5520.582</v>
      </c>
      <c r="H18" s="227"/>
      <c r="I18" s="227"/>
      <c r="J18" s="227"/>
      <c r="K18" s="227"/>
      <c r="L18" s="227"/>
    </row>
    <row r="19" spans="1:12" ht="13.5" thickBot="1">
      <c r="A19" s="209"/>
      <c r="B19" s="227" t="s">
        <v>168</v>
      </c>
      <c r="C19" s="227"/>
      <c r="D19" s="227"/>
      <c r="E19" s="227"/>
      <c r="F19" s="227"/>
      <c r="G19" s="233"/>
      <c r="H19" s="228">
        <f>COUNTIF(G22:G26,"&lt;1000")</f>
        <v>3</v>
      </c>
      <c r="I19" s="227"/>
      <c r="J19" s="227"/>
      <c r="K19" s="227"/>
      <c r="L19" s="227"/>
    </row>
    <row r="20" spans="1:12" ht="13.5" thickBo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1" ht="26.25" thickBot="1">
      <c r="A21" s="210" t="s">
        <v>157</v>
      </c>
      <c r="B21" s="211" t="s">
        <v>158</v>
      </c>
      <c r="C21" s="211" t="s">
        <v>19</v>
      </c>
      <c r="D21" s="211" t="s">
        <v>20</v>
      </c>
      <c r="E21" s="211" t="s">
        <v>159</v>
      </c>
      <c r="F21" s="211" t="s">
        <v>160</v>
      </c>
      <c r="G21" s="212" t="s">
        <v>161</v>
      </c>
      <c r="H21" s="208"/>
      <c r="I21" s="208"/>
      <c r="J21" s="208"/>
      <c r="K21" s="208"/>
    </row>
    <row r="22" spans="1:11" ht="12.75">
      <c r="A22" s="229">
        <v>2950</v>
      </c>
      <c r="B22" s="230" t="s">
        <v>164</v>
      </c>
      <c r="C22" s="230">
        <f>A22+A22*20%</f>
        <v>3540</v>
      </c>
      <c r="D22" s="230">
        <f>IF(C22&gt;1000,C22-C22*5%,C22)</f>
        <v>3363</v>
      </c>
      <c r="E22" s="230">
        <f>IF(D22&lt;1500,D22+D22*2%,D22)</f>
        <v>3363</v>
      </c>
      <c r="F22" s="230">
        <f>IF(AND(E22&gt;1000,B22="CEK"),E22+E22*3%,E22)</f>
        <v>3463.89</v>
      </c>
      <c r="G22" s="231">
        <f>IF(OR(E22&gt;3000,B22="CEK"),E22-E22*7%,E22)</f>
        <v>3127.59</v>
      </c>
      <c r="H22" s="208"/>
      <c r="I22" s="208"/>
      <c r="J22" s="208"/>
      <c r="K22" s="208"/>
    </row>
    <row r="23" spans="1:11" ht="12.75">
      <c r="A23" s="220">
        <v>600</v>
      </c>
      <c r="B23" s="221" t="s">
        <v>164</v>
      </c>
      <c r="C23" s="217">
        <f>A23+A23*20%</f>
        <v>720</v>
      </c>
      <c r="D23" s="217">
        <f>IF(C23&gt;1000,C23-C23*5%,C23)</f>
        <v>720</v>
      </c>
      <c r="E23" s="217">
        <f>IF(D23&lt;1500,D23+D23*2%,D23)</f>
        <v>734.4</v>
      </c>
      <c r="F23" s="217">
        <f>IF(AND(E23&gt;1000,B23="CEK"),E23+E23*3%,E23)</f>
        <v>734.4</v>
      </c>
      <c r="G23" s="222">
        <f>IF(OR(E23&gt;3000,B23="CEK"),E23-E23*7%,E23)</f>
        <v>682.992</v>
      </c>
      <c r="H23" s="208"/>
      <c r="I23" s="208"/>
      <c r="J23" s="208"/>
      <c r="K23" s="208"/>
    </row>
    <row r="24" spans="1:11" ht="12.75">
      <c r="A24" s="220">
        <v>1500</v>
      </c>
      <c r="B24" s="221" t="s">
        <v>163</v>
      </c>
      <c r="C24" s="217">
        <f>A24+A24*20%</f>
        <v>1800</v>
      </c>
      <c r="D24" s="217">
        <f>IF(C24&gt;1000,C24-C24*5%,C24)</f>
        <v>1710</v>
      </c>
      <c r="E24" s="217">
        <f>IF(D24&lt;1500,D24+D24*2%,D24)</f>
        <v>1710</v>
      </c>
      <c r="F24" s="217">
        <f>IF(AND(E24&gt;1000,B24="CEK"),E24+E24*3%,E24)</f>
        <v>1710</v>
      </c>
      <c r="G24" s="222">
        <f>IF(OR(E24&gt;3000,B24="CEK"),E24-E24*7%,E24)</f>
        <v>1710</v>
      </c>
      <c r="H24" s="208"/>
      <c r="I24" s="208"/>
      <c r="J24" s="208"/>
      <c r="K24" s="208"/>
    </row>
    <row r="25" spans="1:11" ht="12.75">
      <c r="A25" s="220">
        <v>150</v>
      </c>
      <c r="B25" s="221" t="s">
        <v>163</v>
      </c>
      <c r="C25" s="217">
        <f>A25+A25*20%</f>
        <v>180</v>
      </c>
      <c r="D25" s="217">
        <f>IF(C25&gt;1000,C25-C25*5%,C25)</f>
        <v>180</v>
      </c>
      <c r="E25" s="217">
        <f>IF(D25&lt;1500,D25+D25*2%,D25)</f>
        <v>183.6</v>
      </c>
      <c r="F25" s="217">
        <f>IF(AND(E25&gt;1000,B25="CEK"),E25+E25*3%,E25)</f>
        <v>183.6</v>
      </c>
      <c r="G25" s="222">
        <f>IF(OR(E25&gt;3000,B25="CEK"),E25-E25*7%,E25)</f>
        <v>183.6</v>
      </c>
      <c r="H25" s="208"/>
      <c r="I25" s="208"/>
      <c r="J25" s="208"/>
      <c r="K25" s="208"/>
    </row>
    <row r="26" spans="1:11" ht="13.5" thickBot="1">
      <c r="A26" s="223">
        <v>350</v>
      </c>
      <c r="B26" s="224" t="s">
        <v>164</v>
      </c>
      <c r="C26" s="232">
        <f>A26+A26*20%</f>
        <v>420</v>
      </c>
      <c r="D26" s="232">
        <f>IF(C26&gt;1000,C26-C26*5%,C26)</f>
        <v>420</v>
      </c>
      <c r="E26" s="232">
        <f>IF(D26&lt;1500,D26+D26*2%,D26)</f>
        <v>428.4</v>
      </c>
      <c r="F26" s="232">
        <f>IF(AND(E26&gt;1000,B26="CEK"),E26+E26*3%,E26)</f>
        <v>428.4</v>
      </c>
      <c r="G26" s="226">
        <f>IF(OR(E26&gt;3000,B26="CEK"),E26-E26*7%,E26)</f>
        <v>398.412</v>
      </c>
      <c r="H26" s="208"/>
      <c r="I26" s="208"/>
      <c r="J26" s="208"/>
      <c r="K26" s="208"/>
    </row>
  </sheetData>
  <sheetProtection/>
  <mergeCells count="5">
    <mergeCell ref="B16:L16"/>
    <mergeCell ref="B12:L12"/>
    <mergeCell ref="B13:L13"/>
    <mergeCell ref="B14:L14"/>
    <mergeCell ref="B15:L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16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s="116" t="s">
        <v>180</v>
      </c>
    </row>
    <row r="2" spans="1:5" ht="39" thickBot="1">
      <c r="A2" s="234" t="s">
        <v>169</v>
      </c>
      <c r="B2" s="235" t="s">
        <v>170</v>
      </c>
      <c r="C2" s="236" t="s">
        <v>171</v>
      </c>
      <c r="D2" s="237" t="s">
        <v>172</v>
      </c>
      <c r="E2" s="237" t="s">
        <v>173</v>
      </c>
    </row>
    <row r="3" spans="1:7" ht="13.5" thickTop="1">
      <c r="A3" s="219" t="s">
        <v>19</v>
      </c>
      <c r="B3" s="238">
        <v>5</v>
      </c>
      <c r="C3" s="239"/>
      <c r="D3" s="240">
        <v>168</v>
      </c>
      <c r="E3" s="240">
        <v>201</v>
      </c>
      <c r="F3" s="241"/>
      <c r="G3" s="242"/>
    </row>
    <row r="4" spans="1:7" ht="12.75">
      <c r="A4" s="222" t="s">
        <v>20</v>
      </c>
      <c r="B4" s="243">
        <v>3</v>
      </c>
      <c r="C4" s="244"/>
      <c r="D4" s="245">
        <v>215</v>
      </c>
      <c r="E4" s="245">
        <v>163.84</v>
      </c>
      <c r="F4" s="131"/>
      <c r="G4" s="242"/>
    </row>
    <row r="5" spans="1:7" ht="12.75">
      <c r="A5" s="222" t="s">
        <v>159</v>
      </c>
      <c r="B5" s="243">
        <v>2</v>
      </c>
      <c r="C5" s="244"/>
      <c r="D5" s="245">
        <v>347</v>
      </c>
      <c r="E5" s="245">
        <v>678.21</v>
      </c>
      <c r="F5" s="131"/>
      <c r="G5" s="242"/>
    </row>
    <row r="6" spans="1:7" ht="12.75">
      <c r="A6" s="222" t="s">
        <v>160</v>
      </c>
      <c r="B6" s="243">
        <v>4</v>
      </c>
      <c r="C6" s="244"/>
      <c r="D6" s="245">
        <v>169</v>
      </c>
      <c r="E6" s="245">
        <v>247</v>
      </c>
      <c r="F6" s="131"/>
      <c r="G6" s="242"/>
    </row>
    <row r="7" spans="1:7" ht="12.75">
      <c r="A7" s="222" t="s">
        <v>161</v>
      </c>
      <c r="B7" s="243">
        <v>5</v>
      </c>
      <c r="C7" s="244"/>
      <c r="D7" s="245">
        <v>261.62</v>
      </c>
      <c r="E7" s="245">
        <v>496</v>
      </c>
      <c r="F7" s="131"/>
      <c r="G7" s="242"/>
    </row>
    <row r="8" spans="1:7" ht="12.75">
      <c r="A8" s="222" t="s">
        <v>162</v>
      </c>
      <c r="B8" s="243">
        <v>4</v>
      </c>
      <c r="C8" s="244"/>
      <c r="D8" s="245">
        <v>379</v>
      </c>
      <c r="E8" s="245">
        <v>354</v>
      </c>
      <c r="F8" s="131"/>
      <c r="G8" s="242"/>
    </row>
    <row r="9" spans="1:7" ht="12.75">
      <c r="A9" s="222" t="s">
        <v>174</v>
      </c>
      <c r="B9" s="243">
        <v>2</v>
      </c>
      <c r="C9" s="244"/>
      <c r="D9" s="245">
        <v>297</v>
      </c>
      <c r="E9" s="245">
        <v>453.2</v>
      </c>
      <c r="F9" s="131"/>
      <c r="G9" s="242"/>
    </row>
    <row r="10" spans="1:7" ht="13.5" thickBot="1">
      <c r="A10" s="226" t="s">
        <v>175</v>
      </c>
      <c r="B10" s="246">
        <v>3</v>
      </c>
      <c r="C10" s="247"/>
      <c r="D10" s="248">
        <v>87</v>
      </c>
      <c r="E10" s="248">
        <v>118</v>
      </c>
      <c r="F10" s="131"/>
      <c r="G10" s="242"/>
    </row>
    <row r="11" spans="3:5" ht="12.75">
      <c r="C11" s="131"/>
      <c r="D11" s="131"/>
      <c r="E11" s="131"/>
    </row>
    <row r="13" spans="1:8" ht="12.75">
      <c r="A13" s="259" t="s">
        <v>176</v>
      </c>
      <c r="B13" s="273"/>
      <c r="C13" s="273"/>
      <c r="D13" s="273"/>
      <c r="E13" s="273"/>
      <c r="F13" s="273"/>
      <c r="G13" s="273"/>
      <c r="H13" s="273"/>
    </row>
    <row r="14" ht="12.75">
      <c r="A14" t="s">
        <v>177</v>
      </c>
    </row>
    <row r="15" ht="12.75">
      <c r="A15" t="s">
        <v>178</v>
      </c>
    </row>
    <row r="16" ht="12.75">
      <c r="A16" t="s">
        <v>179</v>
      </c>
    </row>
  </sheetData>
  <sheetProtection/>
  <mergeCells count="1">
    <mergeCell ref="A13:H1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M17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s="116" t="s">
        <v>180</v>
      </c>
    </row>
    <row r="2" spans="1:5" ht="39" thickBot="1">
      <c r="A2" s="234" t="s">
        <v>169</v>
      </c>
      <c r="B2" s="235" t="s">
        <v>170</v>
      </c>
      <c r="C2" s="236" t="s">
        <v>171</v>
      </c>
      <c r="D2" s="237" t="s">
        <v>172</v>
      </c>
      <c r="E2" s="237" t="s">
        <v>173</v>
      </c>
    </row>
    <row r="3" spans="1:7" ht="13.5" thickTop="1">
      <c r="A3" s="219" t="s">
        <v>19</v>
      </c>
      <c r="B3" s="238">
        <v>5</v>
      </c>
      <c r="C3" s="239">
        <f>IF(B3&gt;4,60,B3*45)</f>
        <v>60</v>
      </c>
      <c r="D3" s="240">
        <v>168</v>
      </c>
      <c r="E3" s="240">
        <v>201</v>
      </c>
      <c r="F3" s="241">
        <f>AVERAGE(C3:E3)</f>
        <v>143</v>
      </c>
      <c r="G3" s="242"/>
    </row>
    <row r="4" spans="1:7" ht="12.75">
      <c r="A4" s="222" t="s">
        <v>20</v>
      </c>
      <c r="B4" s="243">
        <v>3</v>
      </c>
      <c r="C4" s="239">
        <f aca="true" t="shared" si="0" ref="C4:C10">IF(B4&gt;4,60,B4*45)</f>
        <v>135</v>
      </c>
      <c r="D4" s="245">
        <v>215</v>
      </c>
      <c r="E4" s="245">
        <v>163.84</v>
      </c>
      <c r="F4" s="241">
        <f aca="true" t="shared" si="1" ref="F4:F10">AVERAGE(C4:E4)</f>
        <v>171.28</v>
      </c>
      <c r="G4" s="242"/>
    </row>
    <row r="5" spans="1:7" ht="12.75">
      <c r="A5" s="222" t="s">
        <v>159</v>
      </c>
      <c r="B5" s="243">
        <v>2</v>
      </c>
      <c r="C5" s="239">
        <f t="shared" si="0"/>
        <v>90</v>
      </c>
      <c r="D5" s="245">
        <v>347</v>
      </c>
      <c r="E5" s="245">
        <v>678.21</v>
      </c>
      <c r="F5" s="241">
        <f t="shared" si="1"/>
        <v>371.7366666666667</v>
      </c>
      <c r="G5" s="242"/>
    </row>
    <row r="6" spans="1:7" ht="12.75">
      <c r="A6" s="222" t="s">
        <v>160</v>
      </c>
      <c r="B6" s="243">
        <v>4</v>
      </c>
      <c r="C6" s="239">
        <f t="shared" si="0"/>
        <v>180</v>
      </c>
      <c r="D6" s="245">
        <v>169</v>
      </c>
      <c r="E6" s="245">
        <v>247</v>
      </c>
      <c r="F6" s="241">
        <f t="shared" si="1"/>
        <v>198.66666666666666</v>
      </c>
      <c r="G6" s="242"/>
    </row>
    <row r="7" spans="1:7" ht="12.75">
      <c r="A7" s="222" t="s">
        <v>161</v>
      </c>
      <c r="B7" s="243">
        <v>5</v>
      </c>
      <c r="C7" s="239">
        <f t="shared" si="0"/>
        <v>60</v>
      </c>
      <c r="D7" s="245">
        <v>261.62</v>
      </c>
      <c r="E7" s="245">
        <v>496</v>
      </c>
      <c r="F7" s="241">
        <f t="shared" si="1"/>
        <v>272.54</v>
      </c>
      <c r="G7" s="242"/>
    </row>
    <row r="8" spans="1:7" ht="12.75">
      <c r="A8" s="222" t="s">
        <v>162</v>
      </c>
      <c r="B8" s="243">
        <v>4</v>
      </c>
      <c r="C8" s="239">
        <f t="shared" si="0"/>
        <v>180</v>
      </c>
      <c r="D8" s="245">
        <v>379</v>
      </c>
      <c r="E8" s="245">
        <v>354</v>
      </c>
      <c r="F8" s="241">
        <f t="shared" si="1"/>
        <v>304.3333333333333</v>
      </c>
      <c r="G8" s="242"/>
    </row>
    <row r="9" spans="1:7" ht="12.75">
      <c r="A9" s="222" t="s">
        <v>174</v>
      </c>
      <c r="B9" s="243">
        <v>2</v>
      </c>
      <c r="C9" s="239">
        <f t="shared" si="0"/>
        <v>90</v>
      </c>
      <c r="D9" s="245">
        <v>297</v>
      </c>
      <c r="E9" s="245">
        <v>453.2</v>
      </c>
      <c r="F9" s="241">
        <f t="shared" si="1"/>
        <v>280.06666666666666</v>
      </c>
      <c r="G9" s="242"/>
    </row>
    <row r="10" spans="1:7" ht="13.5" thickBot="1">
      <c r="A10" s="226" t="s">
        <v>175</v>
      </c>
      <c r="B10" s="246">
        <v>3</v>
      </c>
      <c r="C10" s="239">
        <f t="shared" si="0"/>
        <v>135</v>
      </c>
      <c r="D10" s="248">
        <v>87</v>
      </c>
      <c r="E10" s="248">
        <v>118</v>
      </c>
      <c r="F10" s="241">
        <f t="shared" si="1"/>
        <v>113.33333333333333</v>
      </c>
      <c r="G10" s="242"/>
    </row>
    <row r="11" spans="3:5" ht="12.75">
      <c r="C11" s="241">
        <f>SUM(C3:C10)</f>
        <v>930</v>
      </c>
      <c r="D11" s="249">
        <f>SUM(D3:D10)</f>
        <v>1923.62</v>
      </c>
      <c r="E11" s="249">
        <f>SUM(E3:E10)</f>
        <v>2711.25</v>
      </c>
    </row>
    <row r="13" spans="1:13" ht="12.75" customHeight="1">
      <c r="A13" s="259" t="s">
        <v>181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</row>
    <row r="14" ht="12.75">
      <c r="A14" t="s">
        <v>177</v>
      </c>
    </row>
    <row r="15" ht="12.75">
      <c r="A15" t="s">
        <v>178</v>
      </c>
    </row>
    <row r="16" ht="13.5" thickBot="1">
      <c r="A16" t="s">
        <v>179</v>
      </c>
    </row>
    <row r="17" ht="13.5" thickBot="1">
      <c r="D17" s="250">
        <f>MAX(C3:C10)</f>
        <v>180</v>
      </c>
    </row>
  </sheetData>
  <sheetProtection/>
  <mergeCells count="1">
    <mergeCell ref="A13:M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3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5.28125" style="0" customWidth="1"/>
    <col min="6" max="6" width="12.421875" style="0" customWidth="1"/>
    <col min="12" max="12" width="11.421875" style="0" bestFit="1" customWidth="1"/>
  </cols>
  <sheetData>
    <row r="1" spans="1:14" ht="13.5" thickBo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0.75" thickBot="1">
      <c r="A2" s="15" t="s">
        <v>19</v>
      </c>
      <c r="B2" s="59" t="s">
        <v>20</v>
      </c>
      <c r="C2" s="15" t="s">
        <v>21</v>
      </c>
      <c r="D2" s="59" t="s">
        <v>28</v>
      </c>
      <c r="E2" s="15" t="s">
        <v>22</v>
      </c>
      <c r="F2" s="59" t="s">
        <v>38</v>
      </c>
      <c r="G2" s="15" t="s">
        <v>23</v>
      </c>
      <c r="H2" s="59" t="s">
        <v>24</v>
      </c>
      <c r="I2" s="15" t="s">
        <v>25</v>
      </c>
      <c r="J2" s="58" t="s">
        <v>26</v>
      </c>
      <c r="K2" s="16" t="s">
        <v>27</v>
      </c>
      <c r="L2" s="16" t="s">
        <v>29</v>
      </c>
      <c r="M2" s="15" t="s">
        <v>30</v>
      </c>
      <c r="N2" s="15" t="s">
        <v>39</v>
      </c>
    </row>
    <row r="3" spans="1:14" ht="12.75">
      <c r="A3" s="17">
        <v>28.5924</v>
      </c>
      <c r="B3" s="60">
        <v>12</v>
      </c>
      <c r="C3" s="19">
        <f>ABS(B3)</f>
        <v>12</v>
      </c>
      <c r="D3" s="60">
        <f>SQRT(A3)</f>
        <v>5.34718617592468</v>
      </c>
      <c r="E3" s="19">
        <f>A3+2*B3</f>
        <v>52.5924</v>
      </c>
      <c r="F3" s="60">
        <f>A3*(1+B3)</f>
        <v>371.70120000000003</v>
      </c>
      <c r="G3" s="19">
        <f>INT(A3)</f>
        <v>28</v>
      </c>
      <c r="H3" s="60" t="str">
        <f>ROMAN(A3)</f>
        <v>XXVIII</v>
      </c>
      <c r="I3" s="65">
        <f>MOD(A3,B3)</f>
        <v>4.592400000000001</v>
      </c>
      <c r="J3" s="68">
        <f>ROUND(A3,3)</f>
        <v>28.592</v>
      </c>
      <c r="K3" s="71">
        <f>TRUNC(A3,2)</f>
        <v>28.59</v>
      </c>
      <c r="L3" s="74">
        <f>A3^(1/5)</f>
        <v>1.9554653379665303</v>
      </c>
      <c r="M3" s="22">
        <f>IF(B3&lt;0,B3+10,B3)</f>
        <v>12</v>
      </c>
      <c r="N3" s="77">
        <f>IF(A3&gt;50,A3-22,A3)</f>
        <v>28.5924</v>
      </c>
    </row>
    <row r="4" spans="1:14" ht="12.75">
      <c r="A4" s="23">
        <v>44.5536</v>
      </c>
      <c r="B4" s="61">
        <v>-36</v>
      </c>
      <c r="C4" s="63">
        <f aca="true" t="shared" si="0" ref="C4:C9">ABS(B4)</f>
        <v>36</v>
      </c>
      <c r="D4" s="61">
        <f aca="true" t="shared" si="1" ref="D4:D9">SQRT(A4)</f>
        <v>6.674848312883222</v>
      </c>
      <c r="E4" s="63">
        <f aca="true" t="shared" si="2" ref="E4:E9">A4+2*B4</f>
        <v>-27.446399999999997</v>
      </c>
      <c r="F4" s="61">
        <f aca="true" t="shared" si="3" ref="F4:F9">A4*(1+B4)</f>
        <v>-1559.3760000000002</v>
      </c>
      <c r="G4" s="63">
        <f aca="true" t="shared" si="4" ref="G4:G9">INT(A4)</f>
        <v>44</v>
      </c>
      <c r="H4" s="61" t="str">
        <f aca="true" t="shared" si="5" ref="H4:H9">ROMAN(A4)</f>
        <v>XLIV</v>
      </c>
      <c r="I4" s="66">
        <f aca="true" t="shared" si="6" ref="I4:I9">MOD(A4,B4)</f>
        <v>-27.446399999999997</v>
      </c>
      <c r="J4" s="69">
        <f aca="true" t="shared" si="7" ref="J4:J9">ROUND(A4,3)</f>
        <v>44.554</v>
      </c>
      <c r="K4" s="72">
        <f aca="true" t="shared" si="8" ref="K4:K9">TRUNC(A4,2)</f>
        <v>44.55</v>
      </c>
      <c r="L4" s="75">
        <f aca="true" t="shared" si="9" ref="L4:L9">A4^(1/5)</f>
        <v>2.1368624145594586</v>
      </c>
      <c r="M4" s="28">
        <f aca="true" t="shared" si="10" ref="M4:M9">IF(B4&lt;0,B4+10,B4)</f>
        <v>-26</v>
      </c>
      <c r="N4" s="78">
        <f aca="true" t="shared" si="11" ref="N4:N9">IF(A4&gt;50,A4-22,A4)</f>
        <v>44.5536</v>
      </c>
    </row>
    <row r="5" spans="1:14" ht="12.75">
      <c r="A5" s="23">
        <v>79.9924</v>
      </c>
      <c r="B5" s="61">
        <v>3</v>
      </c>
      <c r="C5" s="63">
        <f t="shared" si="0"/>
        <v>3</v>
      </c>
      <c r="D5" s="61">
        <f t="shared" si="1"/>
        <v>8.943847046992698</v>
      </c>
      <c r="E5" s="63">
        <f t="shared" si="2"/>
        <v>85.9924</v>
      </c>
      <c r="F5" s="61">
        <f t="shared" si="3"/>
        <v>319.9696</v>
      </c>
      <c r="G5" s="63">
        <f t="shared" si="4"/>
        <v>79</v>
      </c>
      <c r="H5" s="61" t="str">
        <f t="shared" si="5"/>
        <v>LXXIX</v>
      </c>
      <c r="I5" s="66">
        <f t="shared" si="6"/>
        <v>1.9924000000000035</v>
      </c>
      <c r="J5" s="69">
        <f t="shared" si="7"/>
        <v>79.992</v>
      </c>
      <c r="K5" s="72">
        <f t="shared" si="8"/>
        <v>79.99</v>
      </c>
      <c r="L5" s="75">
        <f t="shared" si="9"/>
        <v>2.4022032234998485</v>
      </c>
      <c r="M5" s="28">
        <f t="shared" si="10"/>
        <v>3</v>
      </c>
      <c r="N5" s="78">
        <f t="shared" si="11"/>
        <v>57.9924</v>
      </c>
    </row>
    <row r="6" spans="1:14" ht="12.75">
      <c r="A6" s="23">
        <v>76.4066</v>
      </c>
      <c r="B6" s="61">
        <v>-99.33</v>
      </c>
      <c r="C6" s="63">
        <f t="shared" si="0"/>
        <v>99.33</v>
      </c>
      <c r="D6" s="61">
        <f t="shared" si="1"/>
        <v>8.741086888940071</v>
      </c>
      <c r="E6" s="63">
        <f t="shared" si="2"/>
        <v>-122.2534</v>
      </c>
      <c r="F6" s="61">
        <f t="shared" si="3"/>
        <v>-7513.0609779999995</v>
      </c>
      <c r="G6" s="63">
        <f t="shared" si="4"/>
        <v>76</v>
      </c>
      <c r="H6" s="61" t="str">
        <f t="shared" si="5"/>
        <v>LXXVI</v>
      </c>
      <c r="I6" s="66">
        <f t="shared" si="6"/>
        <v>-22.9234</v>
      </c>
      <c r="J6" s="69">
        <f t="shared" si="7"/>
        <v>76.407</v>
      </c>
      <c r="K6" s="72">
        <f t="shared" si="8"/>
        <v>76.4</v>
      </c>
      <c r="L6" s="75">
        <f t="shared" si="9"/>
        <v>2.380269736618559</v>
      </c>
      <c r="M6" s="28">
        <f t="shared" si="10"/>
        <v>-89.33</v>
      </c>
      <c r="N6" s="78">
        <f t="shared" si="11"/>
        <v>54.4066</v>
      </c>
    </row>
    <row r="7" spans="1:14" ht="12.75">
      <c r="A7" s="23">
        <v>53.93254</v>
      </c>
      <c r="B7" s="61">
        <v>3.6</v>
      </c>
      <c r="C7" s="63">
        <f t="shared" si="0"/>
        <v>3.6</v>
      </c>
      <c r="D7" s="61">
        <f t="shared" si="1"/>
        <v>7.343877722293584</v>
      </c>
      <c r="E7" s="63">
        <f t="shared" si="2"/>
        <v>61.132540000000006</v>
      </c>
      <c r="F7" s="61">
        <f t="shared" si="3"/>
        <v>248.089684</v>
      </c>
      <c r="G7" s="63">
        <f t="shared" si="4"/>
        <v>53</v>
      </c>
      <c r="H7" s="61" t="str">
        <f t="shared" si="5"/>
        <v>LIII</v>
      </c>
      <c r="I7" s="66">
        <f t="shared" si="6"/>
        <v>3.532540000000002</v>
      </c>
      <c r="J7" s="69">
        <f t="shared" si="7"/>
        <v>53.933</v>
      </c>
      <c r="K7" s="72">
        <f t="shared" si="8"/>
        <v>53.93</v>
      </c>
      <c r="L7" s="75">
        <f t="shared" si="9"/>
        <v>2.2200879256888526</v>
      </c>
      <c r="M7" s="28">
        <f t="shared" si="10"/>
        <v>3.6</v>
      </c>
      <c r="N7" s="78">
        <f t="shared" si="11"/>
        <v>31.932540000000003</v>
      </c>
    </row>
    <row r="8" spans="1:14" ht="12.75">
      <c r="A8" s="23">
        <v>57.8654</v>
      </c>
      <c r="B8" s="61">
        <v>12.2</v>
      </c>
      <c r="C8" s="63">
        <f t="shared" si="0"/>
        <v>12.2</v>
      </c>
      <c r="D8" s="61">
        <f t="shared" si="1"/>
        <v>7.6069310500358815</v>
      </c>
      <c r="E8" s="63">
        <f t="shared" si="2"/>
        <v>82.2654</v>
      </c>
      <c r="F8" s="61">
        <f t="shared" si="3"/>
        <v>763.82328</v>
      </c>
      <c r="G8" s="63">
        <f t="shared" si="4"/>
        <v>57</v>
      </c>
      <c r="H8" s="61" t="str">
        <f t="shared" si="5"/>
        <v>LVII</v>
      </c>
      <c r="I8" s="66">
        <f t="shared" si="6"/>
        <v>9.065400000000004</v>
      </c>
      <c r="J8" s="69">
        <f t="shared" si="7"/>
        <v>57.865</v>
      </c>
      <c r="K8" s="72">
        <f t="shared" si="8"/>
        <v>57.86</v>
      </c>
      <c r="L8" s="75">
        <f t="shared" si="9"/>
        <v>2.2515613857869323</v>
      </c>
      <c r="M8" s="28">
        <f t="shared" si="10"/>
        <v>12.2</v>
      </c>
      <c r="N8" s="78">
        <f t="shared" si="11"/>
        <v>35.8654</v>
      </c>
    </row>
    <row r="9" spans="1:14" ht="13.5" thickBot="1">
      <c r="A9" s="29">
        <v>114.56</v>
      </c>
      <c r="B9" s="62">
        <v>-47.98</v>
      </c>
      <c r="C9" s="64">
        <f t="shared" si="0"/>
        <v>47.98</v>
      </c>
      <c r="D9" s="62">
        <f t="shared" si="1"/>
        <v>10.703270528207721</v>
      </c>
      <c r="E9" s="64">
        <f t="shared" si="2"/>
        <v>18.60000000000001</v>
      </c>
      <c r="F9" s="62">
        <f t="shared" si="3"/>
        <v>-5382.0288</v>
      </c>
      <c r="G9" s="64">
        <f t="shared" si="4"/>
        <v>114</v>
      </c>
      <c r="H9" s="62" t="str">
        <f t="shared" si="5"/>
        <v>CXIV</v>
      </c>
      <c r="I9" s="67">
        <f t="shared" si="6"/>
        <v>-29.37999999999999</v>
      </c>
      <c r="J9" s="70">
        <f t="shared" si="7"/>
        <v>114.56</v>
      </c>
      <c r="K9" s="73">
        <f t="shared" si="8"/>
        <v>114.56</v>
      </c>
      <c r="L9" s="76">
        <f t="shared" si="9"/>
        <v>2.581110520543584</v>
      </c>
      <c r="M9" s="34">
        <f t="shared" si="10"/>
        <v>-37.98</v>
      </c>
      <c r="N9" s="79">
        <f t="shared" si="11"/>
        <v>92.56</v>
      </c>
    </row>
    <row r="11" spans="1:14" ht="12.75">
      <c r="A11" s="44" t="s">
        <v>17</v>
      </c>
      <c r="B11" s="39"/>
      <c r="C11" s="39"/>
      <c r="D11" s="39"/>
      <c r="E11" s="39"/>
      <c r="F11" s="39"/>
      <c r="G11" s="39"/>
      <c r="H11" s="39"/>
      <c r="I11" s="37"/>
      <c r="J11" s="38"/>
      <c r="K11" s="38"/>
      <c r="L11" s="38"/>
      <c r="M11" s="38"/>
      <c r="N11" s="38"/>
    </row>
    <row r="12" spans="1:14" ht="12.75">
      <c r="A12" s="253" t="s">
        <v>37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 ht="13.5" thickBot="1">
      <c r="A13" s="45"/>
      <c r="B13" s="39"/>
      <c r="C13" s="39"/>
      <c r="D13" s="39"/>
      <c r="E13" s="39"/>
      <c r="F13" s="39"/>
      <c r="G13" s="39"/>
      <c r="H13" s="39"/>
      <c r="I13" s="37"/>
      <c r="J13" s="38"/>
      <c r="K13" s="38"/>
      <c r="L13" s="38"/>
      <c r="M13" s="38"/>
      <c r="N13" s="38"/>
    </row>
    <row r="14" spans="1:14" ht="24.75" thickBot="1">
      <c r="A14" s="55" t="s">
        <v>31</v>
      </c>
      <c r="B14" s="56" t="s">
        <v>32</v>
      </c>
      <c r="C14" s="56" t="s">
        <v>33</v>
      </c>
      <c r="D14" s="57" t="s">
        <v>36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2.75">
      <c r="A15" s="52">
        <v>1</v>
      </c>
      <c r="B15" s="53">
        <v>1255</v>
      </c>
      <c r="C15" s="53" t="s">
        <v>34</v>
      </c>
      <c r="D15" s="54">
        <f aca="true" t="shared" si="12" ref="D15:D20">IF(AND(B15&gt;1000,C15="da"),B15-B15*0.1,B15)</f>
        <v>1129.5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2.75">
      <c r="A16" s="47">
        <v>2</v>
      </c>
      <c r="B16" s="46">
        <v>2354</v>
      </c>
      <c r="C16" s="46" t="s">
        <v>35</v>
      </c>
      <c r="D16" s="54">
        <f t="shared" si="12"/>
        <v>2354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2.75">
      <c r="A17" s="47">
        <v>3</v>
      </c>
      <c r="B17" s="46">
        <v>545</v>
      </c>
      <c r="C17" s="46" t="s">
        <v>34</v>
      </c>
      <c r="D17" s="54">
        <f t="shared" si="12"/>
        <v>545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2.75">
      <c r="A18" s="47">
        <v>4</v>
      </c>
      <c r="B18" s="46">
        <v>221</v>
      </c>
      <c r="C18" s="46" t="s">
        <v>34</v>
      </c>
      <c r="D18" s="54">
        <f t="shared" si="12"/>
        <v>221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>
      <c r="A19" s="47">
        <v>5</v>
      </c>
      <c r="B19" s="46">
        <v>1560</v>
      </c>
      <c r="C19" s="46" t="s">
        <v>35</v>
      </c>
      <c r="D19" s="54">
        <f t="shared" si="12"/>
        <v>1560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3.5" thickBot="1">
      <c r="A20" s="49">
        <v>6</v>
      </c>
      <c r="B20" s="50">
        <v>925</v>
      </c>
      <c r="C20" s="50" t="s">
        <v>35</v>
      </c>
      <c r="D20" s="80">
        <f t="shared" si="12"/>
        <v>925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2" ht="13.5" thickBot="1">
      <c r="A22" s="81" t="s">
        <v>41</v>
      </c>
    </row>
    <row r="23" spans="1:4" ht="26.25" thickBot="1">
      <c r="A23" s="82" t="s">
        <v>0</v>
      </c>
      <c r="B23" s="83" t="s">
        <v>1</v>
      </c>
      <c r="C23" s="83" t="s">
        <v>2</v>
      </c>
      <c r="D23" s="84" t="s">
        <v>3</v>
      </c>
    </row>
    <row r="24" spans="1:4" ht="13.5" thickTop="1">
      <c r="A24" s="85" t="s">
        <v>4</v>
      </c>
      <c r="B24" s="2">
        <v>28.59</v>
      </c>
      <c r="C24" s="1">
        <v>2</v>
      </c>
      <c r="D24" s="86">
        <f>PRODUCT(B24:C24)</f>
        <v>57.18</v>
      </c>
    </row>
    <row r="25" spans="1:4" ht="12.75">
      <c r="A25" s="87" t="s">
        <v>5</v>
      </c>
      <c r="B25" s="4">
        <v>44.5</v>
      </c>
      <c r="C25" s="3">
        <v>5</v>
      </c>
      <c r="D25" s="86">
        <f aca="true" t="shared" si="13" ref="D25:D30">PRODUCT(B25:C25)</f>
        <v>222.5</v>
      </c>
    </row>
    <row r="26" spans="1:4" ht="12.75">
      <c r="A26" s="87" t="s">
        <v>6</v>
      </c>
      <c r="B26" s="4">
        <v>79.99</v>
      </c>
      <c r="C26" s="3">
        <v>1</v>
      </c>
      <c r="D26" s="86">
        <f t="shared" si="13"/>
        <v>79.99</v>
      </c>
    </row>
    <row r="27" spans="1:4" ht="12.75">
      <c r="A27" s="87" t="s">
        <v>7</v>
      </c>
      <c r="B27" s="4">
        <v>76.4</v>
      </c>
      <c r="C27" s="3">
        <v>4</v>
      </c>
      <c r="D27" s="86">
        <f t="shared" si="13"/>
        <v>305.6</v>
      </c>
    </row>
    <row r="28" spans="1:4" ht="12.75">
      <c r="A28" s="87" t="s">
        <v>8</v>
      </c>
      <c r="B28" s="4">
        <v>53.9</v>
      </c>
      <c r="C28" s="3">
        <v>6</v>
      </c>
      <c r="D28" s="86">
        <f t="shared" si="13"/>
        <v>323.4</v>
      </c>
    </row>
    <row r="29" spans="1:4" ht="12.75">
      <c r="A29" s="87" t="s">
        <v>9</v>
      </c>
      <c r="B29" s="4">
        <v>57.8</v>
      </c>
      <c r="C29" s="3">
        <v>3</v>
      </c>
      <c r="D29" s="86">
        <f t="shared" si="13"/>
        <v>173.39999999999998</v>
      </c>
    </row>
    <row r="30" spans="1:4" ht="13.5" thickBot="1">
      <c r="A30" s="89" t="s">
        <v>10</v>
      </c>
      <c r="B30" s="6">
        <v>114.56</v>
      </c>
      <c r="C30" s="5">
        <v>2</v>
      </c>
      <c r="D30" s="86">
        <f t="shared" si="13"/>
        <v>229.12</v>
      </c>
    </row>
    <row r="31" spans="1:4" ht="14.25" thickBot="1" thickTop="1">
      <c r="A31" s="251" t="s">
        <v>11</v>
      </c>
      <c r="B31" s="252"/>
      <c r="C31" s="252"/>
      <c r="D31" s="91">
        <f>SUM(D24:D30)</f>
        <v>1391.19</v>
      </c>
    </row>
  </sheetData>
  <sheetProtection/>
  <mergeCells count="2">
    <mergeCell ref="A12:N12"/>
    <mergeCell ref="A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J3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5.421875" style="0" customWidth="1"/>
    <col min="3" max="3" width="14.57421875" style="0" customWidth="1"/>
    <col min="4" max="4" width="12.28125" style="0" customWidth="1"/>
  </cols>
  <sheetData>
    <row r="2" spans="1:4" ht="12.75">
      <c r="A2" s="7" t="s">
        <v>42</v>
      </c>
      <c r="B2" s="8"/>
      <c r="C2" s="8"/>
      <c r="D2" s="8"/>
    </row>
    <row r="3" spans="1:4" ht="12.75">
      <c r="A3" s="8" t="s">
        <v>13</v>
      </c>
      <c r="B3" s="8"/>
      <c r="C3" s="8"/>
      <c r="D3" s="8"/>
    </row>
    <row r="4" spans="1:4" ht="12.75">
      <c r="A4" s="8" t="s">
        <v>14</v>
      </c>
      <c r="B4" s="8"/>
      <c r="C4" s="8"/>
      <c r="D4" s="8"/>
    </row>
    <row r="5" spans="1:4" ht="13.5" thickBot="1">
      <c r="A5" s="8"/>
      <c r="B5" s="8"/>
      <c r="C5" s="8"/>
      <c r="D5" s="8"/>
    </row>
    <row r="6" spans="1:4" ht="51.75" thickBot="1">
      <c r="A6" s="92" t="s">
        <v>15</v>
      </c>
      <c r="B6" s="93" t="s">
        <v>16</v>
      </c>
      <c r="C6" s="94" t="s">
        <v>18</v>
      </c>
      <c r="D6" s="8"/>
    </row>
    <row r="7" spans="1:4" ht="13.5" thickTop="1">
      <c r="A7" s="95">
        <v>48</v>
      </c>
      <c r="B7" s="9">
        <v>20</v>
      </c>
      <c r="C7" s="96"/>
      <c r="D7" s="8"/>
    </row>
    <row r="8" spans="1:4" ht="12.75">
      <c r="A8" s="97">
        <v>34</v>
      </c>
      <c r="B8" s="10">
        <v>17</v>
      </c>
      <c r="C8" s="101"/>
      <c r="D8" s="8"/>
    </row>
    <row r="9" spans="1:4" ht="12.75">
      <c r="A9" s="97">
        <v>16</v>
      </c>
      <c r="B9" s="10">
        <v>6</v>
      </c>
      <c r="C9" s="101"/>
      <c r="D9" s="8"/>
    </row>
    <row r="10" spans="1:4" ht="12.75">
      <c r="A10" s="97">
        <v>50</v>
      </c>
      <c r="B10" s="10">
        <v>19</v>
      </c>
      <c r="C10" s="101"/>
      <c r="D10" s="8"/>
    </row>
    <row r="11" spans="1:4" ht="12.75">
      <c r="A11" s="97">
        <v>31</v>
      </c>
      <c r="B11" s="10">
        <v>3</v>
      </c>
      <c r="C11" s="101"/>
      <c r="D11" s="8"/>
    </row>
    <row r="12" spans="1:10" ht="13.5" thickBot="1">
      <c r="A12" s="98">
        <v>45</v>
      </c>
      <c r="B12" s="99">
        <v>18</v>
      </c>
      <c r="C12" s="102"/>
      <c r="D12" s="8"/>
      <c r="E12" s="8"/>
      <c r="F12" s="8"/>
      <c r="G12" s="8"/>
      <c r="H12" s="8"/>
      <c r="I12" s="8"/>
      <c r="J12" s="8"/>
    </row>
    <row r="13" spans="1:10" ht="12.75">
      <c r="A13" s="11"/>
      <c r="B13" s="12"/>
      <c r="C13" s="8"/>
      <c r="D13" s="8"/>
      <c r="E13" s="8"/>
      <c r="F13" s="8"/>
      <c r="G13" s="8"/>
      <c r="H13" s="8"/>
      <c r="I13" s="8"/>
      <c r="J13" s="8"/>
    </row>
    <row r="14" spans="1:10" ht="12.75">
      <c r="A14" s="42" t="s">
        <v>53</v>
      </c>
      <c r="B14" t="s">
        <v>43</v>
      </c>
      <c r="E14" s="8"/>
      <c r="F14" s="8"/>
      <c r="G14" s="8"/>
      <c r="H14" s="8"/>
      <c r="I14" s="8"/>
      <c r="J14" s="8"/>
    </row>
    <row r="15" spans="5:10" ht="12.75">
      <c r="E15" s="8"/>
      <c r="F15" s="8"/>
      <c r="G15" s="8"/>
      <c r="H15" s="8"/>
      <c r="I15" s="8"/>
      <c r="J15" s="8"/>
    </row>
    <row r="16" spans="1:9" ht="25.5">
      <c r="A16" s="103" t="s">
        <v>44</v>
      </c>
      <c r="B16" s="104">
        <v>30</v>
      </c>
      <c r="E16" s="8"/>
      <c r="F16" s="8"/>
      <c r="G16" s="8"/>
      <c r="H16" s="8"/>
      <c r="I16" s="8"/>
    </row>
    <row r="17" spans="1:9" ht="12.75">
      <c r="A17" s="105"/>
      <c r="B17" s="106"/>
      <c r="C17" s="107"/>
      <c r="E17" s="8"/>
      <c r="F17" s="8"/>
      <c r="G17" s="8"/>
      <c r="H17" s="8"/>
      <c r="I17" s="8"/>
    </row>
    <row r="18" spans="1:9" ht="51.75" thickBot="1">
      <c r="A18" s="108" t="s">
        <v>45</v>
      </c>
      <c r="B18" s="109" t="s">
        <v>46</v>
      </c>
      <c r="C18" s="110" t="s">
        <v>47</v>
      </c>
      <c r="E18" s="8"/>
      <c r="F18" s="8"/>
      <c r="G18" s="8"/>
      <c r="H18" s="8"/>
      <c r="I18" s="8"/>
    </row>
    <row r="19" spans="1:9" ht="13.5" thickTop="1">
      <c r="A19" s="1" t="s">
        <v>48</v>
      </c>
      <c r="B19" s="1">
        <v>7</v>
      </c>
      <c r="C19" s="111"/>
      <c r="E19" s="8"/>
      <c r="F19" s="8"/>
      <c r="G19" s="8"/>
      <c r="H19" s="8"/>
      <c r="I19" s="8"/>
    </row>
    <row r="20" spans="1:9" ht="12.75">
      <c r="A20" s="3" t="s">
        <v>49</v>
      </c>
      <c r="B20" s="3">
        <v>17</v>
      </c>
      <c r="C20" s="111"/>
      <c r="E20" s="8"/>
      <c r="F20" s="8"/>
      <c r="G20" s="8"/>
      <c r="H20" s="8"/>
      <c r="I20" s="8"/>
    </row>
    <row r="21" spans="1:9" ht="12.75">
      <c r="A21" s="3" t="s">
        <v>50</v>
      </c>
      <c r="B21" s="3">
        <v>3</v>
      </c>
      <c r="C21" s="111"/>
      <c r="E21" s="8"/>
      <c r="F21" s="8"/>
      <c r="G21" s="8"/>
      <c r="H21" s="8"/>
      <c r="I21" s="8"/>
    </row>
    <row r="22" spans="1:9" ht="12.75">
      <c r="A22" s="3" t="s">
        <v>51</v>
      </c>
      <c r="B22" s="3">
        <v>2</v>
      </c>
      <c r="C22" s="111"/>
      <c r="E22" s="8"/>
      <c r="F22" s="8"/>
      <c r="G22" s="8"/>
      <c r="H22" s="8"/>
      <c r="I22" s="8"/>
    </row>
    <row r="23" spans="1:10" ht="12.75">
      <c r="A23" s="3" t="s">
        <v>52</v>
      </c>
      <c r="B23" s="3">
        <v>1</v>
      </c>
      <c r="C23" s="111"/>
      <c r="E23" s="8"/>
      <c r="F23" s="8"/>
      <c r="G23" s="8"/>
      <c r="H23" s="8"/>
      <c r="I23" s="8"/>
      <c r="J23" s="8"/>
    </row>
    <row r="25" spans="1:2" ht="12.75">
      <c r="A25" s="116" t="s">
        <v>56</v>
      </c>
      <c r="B25" t="s">
        <v>55</v>
      </c>
    </row>
    <row r="27" spans="1:6" ht="26.25" thickBot="1">
      <c r="A27" s="110" t="s">
        <v>0</v>
      </c>
      <c r="B27" s="110" t="s">
        <v>1</v>
      </c>
      <c r="C27" s="110" t="s">
        <v>2</v>
      </c>
      <c r="D27" s="112" t="s">
        <v>3</v>
      </c>
      <c r="E27" s="112" t="s">
        <v>54</v>
      </c>
      <c r="F27" s="113">
        <v>0.2</v>
      </c>
    </row>
    <row r="28" spans="1:5" ht="13.5" thickTop="1">
      <c r="A28" s="1" t="s">
        <v>4</v>
      </c>
      <c r="B28" s="2">
        <v>28.59</v>
      </c>
      <c r="C28" s="1">
        <v>2</v>
      </c>
      <c r="D28" s="114"/>
      <c r="E28" s="115"/>
    </row>
    <row r="29" spans="1:5" ht="12.75">
      <c r="A29" s="3" t="s">
        <v>5</v>
      </c>
      <c r="B29" s="4">
        <v>44.5</v>
      </c>
      <c r="C29" s="3">
        <v>5</v>
      </c>
      <c r="D29" s="114"/>
      <c r="E29" s="115"/>
    </row>
    <row r="30" spans="1:5" ht="12.75">
      <c r="A30" s="3" t="s">
        <v>6</v>
      </c>
      <c r="B30" s="4">
        <v>79.99</v>
      </c>
      <c r="C30" s="3">
        <v>1</v>
      </c>
      <c r="D30" s="114"/>
      <c r="E30" s="115"/>
    </row>
    <row r="31" spans="1:5" ht="12.75">
      <c r="A31" s="3" t="s">
        <v>7</v>
      </c>
      <c r="B31" s="4">
        <v>76.4</v>
      </c>
      <c r="C31" s="3">
        <v>4</v>
      </c>
      <c r="D31" s="114"/>
      <c r="E31" s="115"/>
    </row>
    <row r="32" spans="1:5" ht="12.75">
      <c r="A32" s="3" t="s">
        <v>8</v>
      </c>
      <c r="B32" s="4">
        <v>53.9</v>
      </c>
      <c r="C32" s="3">
        <v>6</v>
      </c>
      <c r="D32" s="114"/>
      <c r="E32" s="115"/>
    </row>
    <row r="33" spans="1:5" ht="12.75">
      <c r="A33" s="3" t="s">
        <v>9</v>
      </c>
      <c r="B33" s="4">
        <v>57.8</v>
      </c>
      <c r="C33" s="3">
        <v>3</v>
      </c>
      <c r="D33" s="114"/>
      <c r="E33" s="115"/>
    </row>
    <row r="34" spans="1:5" ht="13.5" thickBot="1">
      <c r="A34" s="5" t="s">
        <v>10</v>
      </c>
      <c r="B34" s="6">
        <v>114.56</v>
      </c>
      <c r="C34" s="5">
        <v>2</v>
      </c>
      <c r="D34" s="114"/>
      <c r="E34" s="115"/>
    </row>
    <row r="35" spans="1:5" ht="13.5" thickTop="1">
      <c r="A35" s="254" t="s">
        <v>11</v>
      </c>
      <c r="B35" s="255"/>
      <c r="C35" s="255"/>
      <c r="D35" s="1"/>
      <c r="E35" s="115"/>
    </row>
  </sheetData>
  <sheetProtection/>
  <mergeCells count="1">
    <mergeCell ref="A35:C3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J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5.421875" style="0" customWidth="1"/>
    <col min="3" max="3" width="14.57421875" style="0" customWidth="1"/>
    <col min="4" max="4" width="12.28125" style="0" customWidth="1"/>
  </cols>
  <sheetData>
    <row r="2" spans="1:4" ht="12.75">
      <c r="A2" s="7" t="s">
        <v>42</v>
      </c>
      <c r="B2" s="8"/>
      <c r="C2" s="8"/>
      <c r="D2" s="8"/>
    </row>
    <row r="3" spans="1:4" ht="12.75">
      <c r="A3" s="8" t="s">
        <v>13</v>
      </c>
      <c r="B3" s="8"/>
      <c r="C3" s="8"/>
      <c r="D3" s="8"/>
    </row>
    <row r="4" spans="1:4" ht="12.75">
      <c r="A4" s="8" t="s">
        <v>14</v>
      </c>
      <c r="B4" s="8"/>
      <c r="C4" s="8"/>
      <c r="D4" s="8"/>
    </row>
    <row r="5" spans="1:4" ht="13.5" thickBot="1">
      <c r="A5" s="8"/>
      <c r="B5" s="8"/>
      <c r="C5" s="8"/>
      <c r="D5" s="8"/>
    </row>
    <row r="6" spans="1:4" ht="51.75" thickBot="1">
      <c r="A6" s="92" t="s">
        <v>15</v>
      </c>
      <c r="B6" s="93" t="s">
        <v>16</v>
      </c>
      <c r="C6" s="94" t="s">
        <v>18</v>
      </c>
      <c r="D6" s="8"/>
    </row>
    <row r="7" spans="1:4" ht="13.5" thickTop="1">
      <c r="A7" s="95">
        <v>48</v>
      </c>
      <c r="B7" s="9">
        <v>20</v>
      </c>
      <c r="C7" s="96">
        <f aca="true" t="shared" si="0" ref="C7:C12">IF((A7+B7)&gt;65,A7+B7+3,A7+B7)</f>
        <v>71</v>
      </c>
      <c r="D7" s="8"/>
    </row>
    <row r="8" spans="1:4" ht="12.75">
      <c r="A8" s="97">
        <v>34</v>
      </c>
      <c r="B8" s="10">
        <v>17</v>
      </c>
      <c r="C8" s="96">
        <f t="shared" si="0"/>
        <v>51</v>
      </c>
      <c r="D8" s="8"/>
    </row>
    <row r="9" spans="1:4" ht="12.75">
      <c r="A9" s="97">
        <v>16</v>
      </c>
      <c r="B9" s="10">
        <v>6</v>
      </c>
      <c r="C9" s="96">
        <f t="shared" si="0"/>
        <v>22</v>
      </c>
      <c r="D9" s="8"/>
    </row>
    <row r="10" spans="1:4" ht="12.75">
      <c r="A10" s="97">
        <v>50</v>
      </c>
      <c r="B10" s="10">
        <v>19</v>
      </c>
      <c r="C10" s="96">
        <f t="shared" si="0"/>
        <v>72</v>
      </c>
      <c r="D10" s="8"/>
    </row>
    <row r="11" spans="1:4" ht="12.75">
      <c r="A11" s="97">
        <v>31</v>
      </c>
      <c r="B11" s="10">
        <v>3</v>
      </c>
      <c r="C11" s="96">
        <f t="shared" si="0"/>
        <v>34</v>
      </c>
      <c r="D11" s="8"/>
    </row>
    <row r="12" spans="1:10" ht="13.5" thickBot="1">
      <c r="A12" s="98">
        <v>45</v>
      </c>
      <c r="B12" s="99">
        <v>18</v>
      </c>
      <c r="C12" s="100">
        <f t="shared" si="0"/>
        <v>63</v>
      </c>
      <c r="D12" s="8"/>
      <c r="E12" s="8"/>
      <c r="F12" s="8"/>
      <c r="G12" s="8"/>
      <c r="H12" s="8"/>
      <c r="I12" s="8"/>
      <c r="J12" s="8"/>
    </row>
    <row r="13" spans="1:10" ht="12.75">
      <c r="A13" s="11"/>
      <c r="B13" s="12"/>
      <c r="C13" s="8"/>
      <c r="D13" s="8"/>
      <c r="E13" s="8"/>
      <c r="F13" s="8"/>
      <c r="G13" s="8"/>
      <c r="H13" s="8"/>
      <c r="I13" s="8"/>
      <c r="J13" s="8"/>
    </row>
    <row r="14" spans="1:10" ht="12.75">
      <c r="A14" s="42" t="s">
        <v>53</v>
      </c>
      <c r="B14" t="s">
        <v>43</v>
      </c>
      <c r="E14" s="8"/>
      <c r="F14" s="8"/>
      <c r="G14" s="8"/>
      <c r="H14" s="8"/>
      <c r="I14" s="8"/>
      <c r="J14" s="8"/>
    </row>
    <row r="15" spans="5:10" ht="12.75">
      <c r="E15" s="8"/>
      <c r="F15" s="8"/>
      <c r="G15" s="8"/>
      <c r="H15" s="8"/>
      <c r="I15" s="8"/>
      <c r="J15" s="8"/>
    </row>
    <row r="16" spans="1:9" ht="25.5">
      <c r="A16" s="103" t="s">
        <v>44</v>
      </c>
      <c r="B16" s="104">
        <v>30</v>
      </c>
      <c r="E16" s="8"/>
      <c r="F16" s="8"/>
      <c r="G16" s="8"/>
      <c r="H16" s="8"/>
      <c r="I16" s="8"/>
    </row>
    <row r="17" spans="1:9" ht="12.75">
      <c r="A17" s="105"/>
      <c r="B17" s="106"/>
      <c r="C17" s="107"/>
      <c r="E17" s="8"/>
      <c r="F17" s="8"/>
      <c r="G17" s="8"/>
      <c r="H17" s="8"/>
      <c r="I17" s="8"/>
    </row>
    <row r="18" spans="1:9" ht="51.75" thickBot="1">
      <c r="A18" s="108" t="s">
        <v>45</v>
      </c>
      <c r="B18" s="109" t="s">
        <v>46</v>
      </c>
      <c r="C18" s="110" t="s">
        <v>47</v>
      </c>
      <c r="E18" s="8"/>
      <c r="F18" s="8"/>
      <c r="G18" s="8"/>
      <c r="H18" s="8"/>
      <c r="I18" s="8"/>
    </row>
    <row r="19" spans="1:9" ht="13.5" thickTop="1">
      <c r="A19" s="1" t="s">
        <v>48</v>
      </c>
      <c r="B19" s="1">
        <v>7</v>
      </c>
      <c r="C19" s="111">
        <f>B19/B$16</f>
        <v>0.23333333333333334</v>
      </c>
      <c r="E19" s="256" t="s">
        <v>90</v>
      </c>
      <c r="F19" s="256"/>
      <c r="G19" s="256"/>
      <c r="H19" s="256"/>
      <c r="I19" s="256"/>
    </row>
    <row r="20" spans="1:9" ht="12.75">
      <c r="A20" s="3" t="s">
        <v>49</v>
      </c>
      <c r="B20" s="3">
        <v>17</v>
      </c>
      <c r="C20" s="111">
        <f>B20/B$16</f>
        <v>0.5666666666666667</v>
      </c>
      <c r="E20" s="256"/>
      <c r="F20" s="256"/>
      <c r="G20" s="256"/>
      <c r="H20" s="256"/>
      <c r="I20" s="256"/>
    </row>
    <row r="21" spans="1:9" ht="12.75">
      <c r="A21" s="3" t="s">
        <v>50</v>
      </c>
      <c r="B21" s="3">
        <v>3</v>
      </c>
      <c r="C21" s="111">
        <f>B21/B$16</f>
        <v>0.1</v>
      </c>
      <c r="E21" s="256"/>
      <c r="F21" s="256"/>
      <c r="G21" s="256"/>
      <c r="H21" s="256"/>
      <c r="I21" s="256"/>
    </row>
    <row r="22" spans="1:9" ht="12.75">
      <c r="A22" s="3" t="s">
        <v>51</v>
      </c>
      <c r="B22" s="3">
        <v>2</v>
      </c>
      <c r="C22" s="111">
        <f>B22/B$16</f>
        <v>0.06666666666666667</v>
      </c>
      <c r="E22" s="256"/>
      <c r="F22" s="256"/>
      <c r="G22" s="256"/>
      <c r="H22" s="256"/>
      <c r="I22" s="256"/>
    </row>
    <row r="23" spans="1:10" ht="12.75">
      <c r="A23" s="3" t="s">
        <v>52</v>
      </c>
      <c r="B23" s="3">
        <v>1</v>
      </c>
      <c r="C23" s="111">
        <f>B23/B$16</f>
        <v>0.03333333333333333</v>
      </c>
      <c r="E23" s="256"/>
      <c r="F23" s="256"/>
      <c r="G23" s="256"/>
      <c r="H23" s="256"/>
      <c r="I23" s="256"/>
      <c r="J23" s="8"/>
    </row>
    <row r="25" spans="1:2" ht="12.75">
      <c r="A25" s="116" t="s">
        <v>56</v>
      </c>
      <c r="B25" t="s">
        <v>55</v>
      </c>
    </row>
    <row r="26" ht="12.75">
      <c r="A26" t="s">
        <v>57</v>
      </c>
    </row>
    <row r="27" spans="1:6" ht="26.25" thickBot="1">
      <c r="A27" s="110" t="s">
        <v>0</v>
      </c>
      <c r="B27" s="110" t="s">
        <v>1</v>
      </c>
      <c r="C27" s="110" t="s">
        <v>2</v>
      </c>
      <c r="D27" s="112" t="s">
        <v>3</v>
      </c>
      <c r="E27" s="112" t="s">
        <v>54</v>
      </c>
      <c r="F27" s="113">
        <v>0.2</v>
      </c>
    </row>
    <row r="28" spans="1:5" ht="13.5" thickTop="1">
      <c r="A28" s="1" t="s">
        <v>4</v>
      </c>
      <c r="B28" s="2">
        <v>28.59</v>
      </c>
      <c r="C28" s="1">
        <v>2</v>
      </c>
      <c r="D28" s="114">
        <f>(B28+B28*F$27)*C28</f>
        <v>68.616</v>
      </c>
      <c r="E28" s="115"/>
    </row>
    <row r="29" spans="1:5" ht="12.75">
      <c r="A29" s="3" t="s">
        <v>5</v>
      </c>
      <c r="B29" s="4">
        <v>44.5</v>
      </c>
      <c r="C29" s="3">
        <v>5</v>
      </c>
      <c r="D29" s="114">
        <f aca="true" t="shared" si="1" ref="D29:D34">(B29+B29*F$27)*C29</f>
        <v>267</v>
      </c>
      <c r="E29" s="115"/>
    </row>
    <row r="30" spans="1:5" ht="12.75">
      <c r="A30" s="3" t="s">
        <v>6</v>
      </c>
      <c r="B30" s="4">
        <v>79.99</v>
      </c>
      <c r="C30" s="3">
        <v>1</v>
      </c>
      <c r="D30" s="114">
        <f t="shared" si="1"/>
        <v>95.988</v>
      </c>
      <c r="E30" s="115"/>
    </row>
    <row r="31" spans="1:5" ht="12.75">
      <c r="A31" s="3" t="s">
        <v>7</v>
      </c>
      <c r="B31" s="4">
        <v>76.4</v>
      </c>
      <c r="C31" s="3">
        <v>4</v>
      </c>
      <c r="D31" s="114">
        <f t="shared" si="1"/>
        <v>366.72</v>
      </c>
      <c r="E31" s="115"/>
    </row>
    <row r="32" spans="1:5" ht="12.75">
      <c r="A32" s="3" t="s">
        <v>8</v>
      </c>
      <c r="B32" s="4">
        <v>53.9</v>
      </c>
      <c r="C32" s="3">
        <v>6</v>
      </c>
      <c r="D32" s="114">
        <f t="shared" si="1"/>
        <v>388.08000000000004</v>
      </c>
      <c r="E32" s="115"/>
    </row>
    <row r="33" spans="1:5" ht="12.75">
      <c r="A33" s="3" t="s">
        <v>9</v>
      </c>
      <c r="B33" s="4">
        <v>57.8</v>
      </c>
      <c r="C33" s="3">
        <v>3</v>
      </c>
      <c r="D33" s="114">
        <f t="shared" si="1"/>
        <v>208.07999999999998</v>
      </c>
      <c r="E33" s="115"/>
    </row>
    <row r="34" spans="1:5" ht="13.5" thickBot="1">
      <c r="A34" s="5" t="s">
        <v>10</v>
      </c>
      <c r="B34" s="6">
        <v>114.56</v>
      </c>
      <c r="C34" s="5">
        <v>2</v>
      </c>
      <c r="D34" s="114">
        <f t="shared" si="1"/>
        <v>274.944</v>
      </c>
      <c r="E34" s="115"/>
    </row>
    <row r="35" spans="1:5" ht="13.5" thickTop="1">
      <c r="A35" s="254" t="s">
        <v>11</v>
      </c>
      <c r="B35" s="255"/>
      <c r="C35" s="255"/>
      <c r="D35" s="1">
        <f>SUM(D28:D34)</f>
        <v>1669.4279999999999</v>
      </c>
      <c r="E35" s="115"/>
    </row>
  </sheetData>
  <sheetProtection/>
  <mergeCells count="2">
    <mergeCell ref="A35:C35"/>
    <mergeCell ref="E19:I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25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12.00390625" style="0" customWidth="1"/>
  </cols>
  <sheetData>
    <row r="1" ht="12.75">
      <c r="A1" s="116" t="s">
        <v>68</v>
      </c>
    </row>
    <row r="2" spans="1:15" ht="12.75" customHeight="1">
      <c r="A2" s="259" t="s">
        <v>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12.75">
      <c r="A3" t="s">
        <v>59</v>
      </c>
    </row>
    <row r="6" spans="1:8" ht="39" thickBot="1">
      <c r="A6" s="257" t="s">
        <v>60</v>
      </c>
      <c r="B6" s="117" t="s">
        <v>61</v>
      </c>
      <c r="C6" s="118" t="s">
        <v>62</v>
      </c>
      <c r="D6" s="118" t="s">
        <v>63</v>
      </c>
      <c r="E6" s="118" t="s">
        <v>64</v>
      </c>
      <c r="F6" s="118" t="s">
        <v>65</v>
      </c>
      <c r="G6" s="119" t="s">
        <v>66</v>
      </c>
      <c r="H6" s="119" t="s">
        <v>67</v>
      </c>
    </row>
    <row r="7" spans="1:8" ht="13.5" thickBot="1">
      <c r="A7" s="258"/>
      <c r="B7" s="120"/>
      <c r="C7" s="121"/>
      <c r="D7" s="121"/>
      <c r="E7" s="121"/>
      <c r="F7" s="122"/>
      <c r="G7" s="123">
        <v>72.5</v>
      </c>
      <c r="H7" s="124">
        <v>0.1</v>
      </c>
    </row>
    <row r="8" spans="1:6" ht="12.75">
      <c r="A8" s="125">
        <v>125</v>
      </c>
      <c r="B8" s="126">
        <f aca="true" t="shared" si="0" ref="B8:B13">A8+A8*H7</f>
        <v>137.5</v>
      </c>
      <c r="C8" s="114">
        <f aca="true" t="shared" si="1" ref="C8:C13">B8+B8*5%</f>
        <v>144.375</v>
      </c>
      <c r="D8" s="114"/>
      <c r="E8" s="114"/>
      <c r="F8" s="127"/>
    </row>
    <row r="9" spans="1:6" ht="12.75">
      <c r="A9" s="128">
        <v>215.25</v>
      </c>
      <c r="B9" s="126">
        <f t="shared" si="0"/>
        <v>215.25</v>
      </c>
      <c r="C9" s="114">
        <f t="shared" si="1"/>
        <v>226.0125</v>
      </c>
      <c r="D9" s="114"/>
      <c r="E9" s="114"/>
      <c r="F9" s="127"/>
    </row>
    <row r="10" spans="1:6" ht="12.75">
      <c r="A10" s="128">
        <v>85.75</v>
      </c>
      <c r="B10" s="126">
        <f t="shared" si="0"/>
        <v>85.75</v>
      </c>
      <c r="C10" s="114">
        <f t="shared" si="1"/>
        <v>90.0375</v>
      </c>
      <c r="D10" s="114"/>
      <c r="E10" s="114"/>
      <c r="F10" s="127"/>
    </row>
    <row r="11" spans="1:6" ht="12.75">
      <c r="A11" s="128">
        <v>100</v>
      </c>
      <c r="B11" s="126">
        <f t="shared" si="0"/>
        <v>100</v>
      </c>
      <c r="C11" s="114">
        <f t="shared" si="1"/>
        <v>105</v>
      </c>
      <c r="D11" s="114"/>
      <c r="E11" s="114"/>
      <c r="F11" s="127"/>
    </row>
    <row r="12" spans="1:6" ht="12.75">
      <c r="A12" s="128">
        <v>450</v>
      </c>
      <c r="B12" s="126">
        <f t="shared" si="0"/>
        <v>450</v>
      </c>
      <c r="C12" s="114">
        <f t="shared" si="1"/>
        <v>472.5</v>
      </c>
      <c r="D12" s="114"/>
      <c r="E12" s="114"/>
      <c r="F12" s="127"/>
    </row>
    <row r="13" spans="1:6" ht="12.75">
      <c r="A13" s="128">
        <v>99.99</v>
      </c>
      <c r="B13" s="126">
        <f t="shared" si="0"/>
        <v>99.99</v>
      </c>
      <c r="C13" s="114">
        <f t="shared" si="1"/>
        <v>104.98949999999999</v>
      </c>
      <c r="D13" s="114"/>
      <c r="E13" s="114"/>
      <c r="F13" s="127"/>
    </row>
    <row r="15" spans="1:6" ht="12.75">
      <c r="A15" s="7" t="s">
        <v>82</v>
      </c>
      <c r="B15" s="129" t="s">
        <v>83</v>
      </c>
      <c r="C15" s="129"/>
      <c r="D15" s="129"/>
      <c r="E15" s="129"/>
      <c r="F15" s="129"/>
    </row>
    <row r="16" spans="1:6" ht="12.75">
      <c r="A16" s="3"/>
      <c r="B16" s="3" t="s">
        <v>70</v>
      </c>
      <c r="C16" s="3" t="s">
        <v>71</v>
      </c>
      <c r="D16" s="3" t="s">
        <v>72</v>
      </c>
      <c r="E16" s="260"/>
      <c r="F16" s="261"/>
    </row>
    <row r="17" spans="1:6" ht="12.75">
      <c r="A17" s="3" t="s">
        <v>73</v>
      </c>
      <c r="B17" s="130">
        <v>0.67</v>
      </c>
      <c r="C17" s="130">
        <v>0.99</v>
      </c>
      <c r="D17" s="131"/>
      <c r="E17" s="115" t="s">
        <v>74</v>
      </c>
      <c r="F17" t="s">
        <v>75</v>
      </c>
    </row>
    <row r="18" spans="1:6" ht="12.75">
      <c r="A18" s="3" t="s">
        <v>76</v>
      </c>
      <c r="B18" s="130">
        <v>0.42</v>
      </c>
      <c r="C18" s="130">
        <v>0.67</v>
      </c>
      <c r="D18" s="131"/>
      <c r="E18" s="115" t="s">
        <v>77</v>
      </c>
      <c r="F18" t="s">
        <v>78</v>
      </c>
    </row>
    <row r="19" spans="1:5" ht="12.75">
      <c r="A19" s="3" t="s">
        <v>79</v>
      </c>
      <c r="B19" s="130">
        <v>0.81</v>
      </c>
      <c r="C19" s="130">
        <v>0.54</v>
      </c>
      <c r="D19" s="131"/>
      <c r="E19" s="115"/>
    </row>
    <row r="20" spans="1:5" ht="12.75">
      <c r="A20" s="3" t="s">
        <v>80</v>
      </c>
      <c r="B20" s="130">
        <v>0.18</v>
      </c>
      <c r="C20" s="130">
        <v>0.44</v>
      </c>
      <c r="D20" s="131"/>
      <c r="E20" s="115"/>
    </row>
    <row r="21" spans="1:5" ht="12.75">
      <c r="A21" s="3" t="s">
        <v>81</v>
      </c>
      <c r="B21" s="130">
        <v>0.51</v>
      </c>
      <c r="C21" s="130">
        <v>0.51</v>
      </c>
      <c r="D21" s="131"/>
      <c r="E21" s="115"/>
    </row>
    <row r="23" ht="12.75">
      <c r="A23" s="7" t="s">
        <v>88</v>
      </c>
    </row>
    <row r="25" ht="12.75">
      <c r="A25" t="s">
        <v>84</v>
      </c>
    </row>
  </sheetData>
  <sheetProtection/>
  <mergeCells count="3">
    <mergeCell ref="A6:A7"/>
    <mergeCell ref="A2:O2"/>
    <mergeCell ref="E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59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11.140625" style="0" customWidth="1"/>
  </cols>
  <sheetData>
    <row r="1" ht="12.75">
      <c r="A1" s="116" t="s">
        <v>68</v>
      </c>
    </row>
    <row r="2" spans="1:15" ht="12.75">
      <c r="A2" s="259" t="s">
        <v>58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12.75">
      <c r="A3" t="s">
        <v>59</v>
      </c>
    </row>
    <row r="6" spans="1:8" ht="39" thickBot="1">
      <c r="A6" s="257" t="s">
        <v>60</v>
      </c>
      <c r="B6" s="117" t="s">
        <v>61</v>
      </c>
      <c r="C6" s="118" t="s">
        <v>62</v>
      </c>
      <c r="D6" s="118" t="s">
        <v>63</v>
      </c>
      <c r="E6" s="118" t="s">
        <v>64</v>
      </c>
      <c r="F6" s="118" t="s">
        <v>65</v>
      </c>
      <c r="G6" s="119" t="s">
        <v>66</v>
      </c>
      <c r="H6" s="119" t="s">
        <v>67</v>
      </c>
    </row>
    <row r="7" spans="1:8" ht="13.5" thickBot="1">
      <c r="A7" s="258"/>
      <c r="B7" s="120"/>
      <c r="C7" s="121"/>
      <c r="D7" s="121"/>
      <c r="E7" s="121"/>
      <c r="F7" s="122"/>
      <c r="G7" s="123">
        <v>72.5</v>
      </c>
      <c r="H7" s="124">
        <v>0.1</v>
      </c>
    </row>
    <row r="8" spans="1:6" ht="12.75">
      <c r="A8" s="125">
        <v>125</v>
      </c>
      <c r="B8" s="126">
        <f aca="true" t="shared" si="0" ref="B8:B13">A8+A8*H7</f>
        <v>137.5</v>
      </c>
      <c r="C8" s="114">
        <f aca="true" t="shared" si="1" ref="C8:C13">B8+B8*5%</f>
        <v>144.375</v>
      </c>
      <c r="D8" s="114">
        <f aca="true" t="shared" si="2" ref="D8:D13">C8/6</f>
        <v>24.0625</v>
      </c>
      <c r="E8" s="114">
        <f aca="true" t="shared" si="3" ref="E8:E13">B8-B8*10%</f>
        <v>123.75</v>
      </c>
      <c r="F8" s="127">
        <f aca="true" t="shared" si="4" ref="F8:F13">B8/G$7</f>
        <v>1.896551724137931</v>
      </c>
    </row>
    <row r="9" spans="1:6" ht="12.75">
      <c r="A9" s="128">
        <v>215.25</v>
      </c>
      <c r="B9" s="126">
        <f t="shared" si="0"/>
        <v>215.25</v>
      </c>
      <c r="C9" s="114">
        <f t="shared" si="1"/>
        <v>226.0125</v>
      </c>
      <c r="D9" s="114">
        <f t="shared" si="2"/>
        <v>37.668749999999996</v>
      </c>
      <c r="E9" s="114">
        <f t="shared" si="3"/>
        <v>193.725</v>
      </c>
      <c r="F9" s="127">
        <f t="shared" si="4"/>
        <v>2.9689655172413794</v>
      </c>
    </row>
    <row r="10" spans="1:6" ht="12.75">
      <c r="A10" s="128">
        <v>85.75</v>
      </c>
      <c r="B10" s="126">
        <f t="shared" si="0"/>
        <v>85.75</v>
      </c>
      <c r="C10" s="114">
        <f t="shared" si="1"/>
        <v>90.0375</v>
      </c>
      <c r="D10" s="114">
        <f t="shared" si="2"/>
        <v>15.00625</v>
      </c>
      <c r="E10" s="114">
        <f t="shared" si="3"/>
        <v>77.175</v>
      </c>
      <c r="F10" s="127">
        <f t="shared" si="4"/>
        <v>1.1827586206896552</v>
      </c>
    </row>
    <row r="11" spans="1:6" ht="12.75">
      <c r="A11" s="128">
        <v>100</v>
      </c>
      <c r="B11" s="126">
        <f t="shared" si="0"/>
        <v>100</v>
      </c>
      <c r="C11" s="114">
        <f t="shared" si="1"/>
        <v>105</v>
      </c>
      <c r="D11" s="114">
        <f t="shared" si="2"/>
        <v>17.5</v>
      </c>
      <c r="E11" s="114">
        <f t="shared" si="3"/>
        <v>90</v>
      </c>
      <c r="F11" s="127">
        <f t="shared" si="4"/>
        <v>1.3793103448275863</v>
      </c>
    </row>
    <row r="12" spans="1:6" ht="12.75">
      <c r="A12" s="128">
        <v>450</v>
      </c>
      <c r="B12" s="126">
        <f t="shared" si="0"/>
        <v>450</v>
      </c>
      <c r="C12" s="114">
        <f t="shared" si="1"/>
        <v>472.5</v>
      </c>
      <c r="D12" s="114">
        <f t="shared" si="2"/>
        <v>78.75</v>
      </c>
      <c r="E12" s="114">
        <f t="shared" si="3"/>
        <v>405</v>
      </c>
      <c r="F12" s="127">
        <f t="shared" si="4"/>
        <v>6.206896551724138</v>
      </c>
    </row>
    <row r="13" spans="1:6" ht="12.75">
      <c r="A13" s="128">
        <v>99.99</v>
      </c>
      <c r="B13" s="126">
        <f t="shared" si="0"/>
        <v>99.99</v>
      </c>
      <c r="C13" s="114">
        <f t="shared" si="1"/>
        <v>104.98949999999999</v>
      </c>
      <c r="D13" s="114">
        <f t="shared" si="2"/>
        <v>17.49825</v>
      </c>
      <c r="E13" s="114">
        <f t="shared" si="3"/>
        <v>89.991</v>
      </c>
      <c r="F13" s="127">
        <f t="shared" si="4"/>
        <v>1.3791724137931034</v>
      </c>
    </row>
    <row r="15" spans="1:6" ht="12.75">
      <c r="A15" s="7" t="s">
        <v>82</v>
      </c>
      <c r="B15" s="129" t="s">
        <v>83</v>
      </c>
      <c r="C15" s="129"/>
      <c r="D15" s="129"/>
      <c r="E15" s="129"/>
      <c r="F15" s="129"/>
    </row>
    <row r="16" spans="1:6" ht="12.75">
      <c r="A16" s="3"/>
      <c r="B16" s="3" t="s">
        <v>70</v>
      </c>
      <c r="C16" s="3" t="s">
        <v>71</v>
      </c>
      <c r="D16" s="3" t="s">
        <v>72</v>
      </c>
      <c r="E16" s="260"/>
      <c r="F16" s="261"/>
    </row>
    <row r="17" spans="1:6" ht="12.75">
      <c r="A17" s="3" t="s">
        <v>73</v>
      </c>
      <c r="B17" s="130">
        <v>0.67</v>
      </c>
      <c r="C17" s="130">
        <v>0.99</v>
      </c>
      <c r="D17" s="131" t="str">
        <f>IF(AND(B17&gt;50%,C17&gt;50%),"prosao","pao")</f>
        <v>prosao</v>
      </c>
      <c r="E17" s="115" t="s">
        <v>74</v>
      </c>
      <c r="F17" t="s">
        <v>75</v>
      </c>
    </row>
    <row r="18" spans="1:6" ht="12.75">
      <c r="A18" s="3" t="s">
        <v>76</v>
      </c>
      <c r="B18" s="130">
        <v>0.42</v>
      </c>
      <c r="C18" s="130">
        <v>0.67</v>
      </c>
      <c r="D18" s="131" t="str">
        <f>IF(AND(B18&gt;50%,C18&gt;50%),"prosao","pao")</f>
        <v>pao</v>
      </c>
      <c r="E18" s="115" t="s">
        <v>77</v>
      </c>
      <c r="F18" t="s">
        <v>78</v>
      </c>
    </row>
    <row r="19" spans="1:5" ht="12.75">
      <c r="A19" s="3" t="s">
        <v>79</v>
      </c>
      <c r="B19" s="130">
        <v>0.81</v>
      </c>
      <c r="C19" s="130">
        <v>0.54</v>
      </c>
      <c r="D19" s="131" t="str">
        <f>IF(AND(B19&gt;50%,C19&gt;50%),"prosao","pao")</f>
        <v>prosao</v>
      </c>
      <c r="E19" s="115"/>
    </row>
    <row r="20" spans="1:5" ht="12.75">
      <c r="A20" s="3" t="s">
        <v>80</v>
      </c>
      <c r="B20" s="130">
        <v>0.18</v>
      </c>
      <c r="C20" s="130">
        <v>0.44</v>
      </c>
      <c r="D20" s="131" t="str">
        <f>IF(AND(B20&gt;50%,C20&gt;50%),"prosao","pao")</f>
        <v>pao</v>
      </c>
      <c r="E20" s="115"/>
    </row>
    <row r="21" spans="1:5" ht="12.75">
      <c r="A21" s="3" t="s">
        <v>81</v>
      </c>
      <c r="B21" s="130">
        <v>0.51</v>
      </c>
      <c r="C21" s="130">
        <v>0.51</v>
      </c>
      <c r="D21" s="131" t="str">
        <f>IF(AND(B21&gt;50%,C21&gt;50%),"prosao","pao")</f>
        <v>prosao</v>
      </c>
      <c r="E21" s="115"/>
    </row>
    <row r="23" ht="12.75">
      <c r="A23" s="7" t="s">
        <v>88</v>
      </c>
    </row>
    <row r="25" ht="12.75">
      <c r="A25" t="s">
        <v>84</v>
      </c>
    </row>
    <row r="27" spans="1:3" ht="12.75">
      <c r="A27" t="s">
        <v>85</v>
      </c>
      <c r="B27" t="s">
        <v>86</v>
      </c>
      <c r="C27" t="s">
        <v>87</v>
      </c>
    </row>
    <row r="28" spans="1:12" ht="12.75">
      <c r="A28">
        <f>-PI()/2</f>
        <v>-1.5707963267948966</v>
      </c>
      <c r="B28">
        <f>SIN(A28)</f>
        <v>-1</v>
      </c>
      <c r="C28">
        <f>SIN(2*A28)</f>
        <v>-1.22514845490862E-16</v>
      </c>
      <c r="E28" s="262" t="s">
        <v>89</v>
      </c>
      <c r="F28" s="262"/>
      <c r="G28" s="262"/>
      <c r="H28" s="262"/>
      <c r="I28" s="262"/>
      <c r="J28" s="262"/>
      <c r="K28" s="262"/>
      <c r="L28" s="262"/>
    </row>
    <row r="29" spans="1:12" ht="12.75">
      <c r="A29">
        <f aca="true" t="shared" si="5" ref="A29:A59">A28+0.1</f>
        <v>-1.4707963267948965</v>
      </c>
      <c r="B29">
        <f aca="true" t="shared" si="6" ref="B29:B58">SIN(A29)</f>
        <v>-0.9950041652780257</v>
      </c>
      <c r="C29">
        <f aca="true" t="shared" si="7" ref="C29:C59">SIN(2*A29)</f>
        <v>-0.19866933079506152</v>
      </c>
      <c r="E29" s="262"/>
      <c r="F29" s="262"/>
      <c r="G29" s="262"/>
      <c r="H29" s="262"/>
      <c r="I29" s="262"/>
      <c r="J29" s="262"/>
      <c r="K29" s="262"/>
      <c r="L29" s="262"/>
    </row>
    <row r="30" spans="1:3" ht="12.75">
      <c r="A30">
        <f t="shared" si="5"/>
        <v>-1.3707963267948964</v>
      </c>
      <c r="B30">
        <f t="shared" si="6"/>
        <v>-0.9800665778412416</v>
      </c>
      <c r="C30">
        <f t="shared" si="7"/>
        <v>-0.3894183423086509</v>
      </c>
    </row>
    <row r="31" spans="1:3" ht="12.75">
      <c r="A31">
        <f t="shared" si="5"/>
        <v>-1.2707963267948963</v>
      </c>
      <c r="B31">
        <f t="shared" si="6"/>
        <v>-0.9553364891256059</v>
      </c>
      <c r="C31">
        <f t="shared" si="7"/>
        <v>-0.5646424733950359</v>
      </c>
    </row>
    <row r="32" spans="1:3" ht="12.75">
      <c r="A32">
        <f t="shared" si="5"/>
        <v>-1.1707963267948962</v>
      </c>
      <c r="B32">
        <f t="shared" si="6"/>
        <v>-0.9210609940028849</v>
      </c>
      <c r="C32">
        <f t="shared" si="7"/>
        <v>-0.7173560908995233</v>
      </c>
    </row>
    <row r="33" spans="1:3" ht="12.75">
      <c r="A33">
        <f t="shared" si="5"/>
        <v>-1.0707963267948961</v>
      </c>
      <c r="B33">
        <f t="shared" si="6"/>
        <v>-0.8775825618903724</v>
      </c>
      <c r="C33">
        <f t="shared" si="7"/>
        <v>-0.8414709848078971</v>
      </c>
    </row>
    <row r="34" spans="1:3" ht="12.75">
      <c r="A34">
        <f t="shared" si="5"/>
        <v>-0.9707963267948961</v>
      </c>
      <c r="B34">
        <f t="shared" si="6"/>
        <v>-0.825335614909678</v>
      </c>
      <c r="C34">
        <f t="shared" si="7"/>
        <v>-0.9320390859672267</v>
      </c>
    </row>
    <row r="35" spans="1:3" ht="12.75">
      <c r="A35">
        <f t="shared" si="5"/>
        <v>-0.8707963267948962</v>
      </c>
      <c r="B35">
        <f t="shared" si="6"/>
        <v>-0.7648421872844882</v>
      </c>
      <c r="C35">
        <f t="shared" si="7"/>
        <v>-0.9854497299884604</v>
      </c>
    </row>
    <row r="36" spans="1:3" ht="12.75">
      <c r="A36">
        <f t="shared" si="5"/>
        <v>-0.7707963267948962</v>
      </c>
      <c r="B36">
        <f t="shared" si="6"/>
        <v>-0.696706709347165</v>
      </c>
      <c r="C36">
        <f t="shared" si="7"/>
        <v>-0.9995736030415051</v>
      </c>
    </row>
    <row r="37" spans="1:3" ht="12.75">
      <c r="A37">
        <f t="shared" si="5"/>
        <v>-0.6707963267948962</v>
      </c>
      <c r="B37">
        <f t="shared" si="6"/>
        <v>-0.6216099682706642</v>
      </c>
      <c r="C37">
        <f t="shared" si="7"/>
        <v>-0.973847630878195</v>
      </c>
    </row>
    <row r="38" spans="1:3" ht="12.75">
      <c r="A38">
        <f t="shared" si="5"/>
        <v>-0.5707963267948962</v>
      </c>
      <c r="B38">
        <f t="shared" si="6"/>
        <v>-0.5403023058681394</v>
      </c>
      <c r="C38">
        <f t="shared" si="7"/>
        <v>-0.9092974268256814</v>
      </c>
    </row>
    <row r="39" spans="1:3" ht="12.75">
      <c r="A39">
        <f t="shared" si="5"/>
        <v>-0.47079632679489625</v>
      </c>
      <c r="B39">
        <f t="shared" si="6"/>
        <v>-0.45359612142557704</v>
      </c>
      <c r="C39">
        <f t="shared" si="7"/>
        <v>-0.8084964038195898</v>
      </c>
    </row>
    <row r="40" spans="1:3" ht="12.75">
      <c r="A40">
        <f t="shared" si="5"/>
        <v>-0.37079632679489627</v>
      </c>
      <c r="B40">
        <f t="shared" si="6"/>
        <v>-0.36235775447667323</v>
      </c>
      <c r="C40">
        <f t="shared" si="7"/>
        <v>-0.6754631805511504</v>
      </c>
    </row>
    <row r="41" spans="1:3" ht="12.75">
      <c r="A41">
        <f t="shared" si="5"/>
        <v>-0.2707963267948963</v>
      </c>
      <c r="B41">
        <f t="shared" si="6"/>
        <v>-0.26749882862458707</v>
      </c>
      <c r="C41">
        <f t="shared" si="7"/>
        <v>-0.5155013718214637</v>
      </c>
    </row>
    <row r="42" spans="1:3" ht="12.75">
      <c r="A42">
        <f t="shared" si="5"/>
        <v>-0.17079632679489629</v>
      </c>
      <c r="B42">
        <f t="shared" si="6"/>
        <v>-0.16996714290024062</v>
      </c>
      <c r="C42">
        <f t="shared" si="7"/>
        <v>-0.3349881501559043</v>
      </c>
    </row>
    <row r="43" spans="1:3" ht="12.75">
      <c r="A43">
        <f t="shared" si="5"/>
        <v>-0.07079632679489628</v>
      </c>
      <c r="B43">
        <f t="shared" si="6"/>
        <v>-0.07073720166770257</v>
      </c>
      <c r="C43">
        <f t="shared" si="7"/>
        <v>-0.14112000805986655</v>
      </c>
    </row>
    <row r="44" spans="1:3" ht="12.75">
      <c r="A44">
        <f t="shared" si="5"/>
        <v>0.029203673205103725</v>
      </c>
      <c r="B44">
        <f t="shared" si="6"/>
        <v>0.02919952230128907</v>
      </c>
      <c r="C44">
        <f t="shared" si="7"/>
        <v>0.0583741434275806</v>
      </c>
    </row>
    <row r="45" spans="1:3" ht="12.75">
      <c r="A45">
        <f t="shared" si="5"/>
        <v>0.12920367320510373</v>
      </c>
      <c r="B45">
        <f t="shared" si="6"/>
        <v>0.12884449429552502</v>
      </c>
      <c r="C45">
        <f t="shared" si="7"/>
        <v>0.255541102026832</v>
      </c>
    </row>
    <row r="46" spans="1:3" ht="12.75">
      <c r="A46">
        <f t="shared" si="5"/>
        <v>0.22920367320510374</v>
      </c>
      <c r="B46">
        <f t="shared" si="6"/>
        <v>0.22720209469308741</v>
      </c>
      <c r="C46">
        <f t="shared" si="7"/>
        <v>0.442520443294853</v>
      </c>
    </row>
    <row r="47" spans="1:3" ht="12.75">
      <c r="A47">
        <f t="shared" si="5"/>
        <v>0.32920367320510374</v>
      </c>
      <c r="B47">
        <f t="shared" si="6"/>
        <v>0.32328956686350374</v>
      </c>
      <c r="C47">
        <f t="shared" si="7"/>
        <v>0.6118578909427197</v>
      </c>
    </row>
    <row r="48" spans="1:3" ht="12.75">
      <c r="A48">
        <f t="shared" si="5"/>
        <v>0.4292036732051038</v>
      </c>
      <c r="B48">
        <f t="shared" si="6"/>
        <v>0.41614683654714274</v>
      </c>
      <c r="C48">
        <f t="shared" si="7"/>
        <v>0.7568024953079288</v>
      </c>
    </row>
    <row r="49" spans="1:3" ht="12.75">
      <c r="A49">
        <f t="shared" si="5"/>
        <v>0.5292036732051038</v>
      </c>
      <c r="B49">
        <f t="shared" si="6"/>
        <v>0.5048461045998578</v>
      </c>
      <c r="C49">
        <f t="shared" si="7"/>
        <v>0.8715757724135884</v>
      </c>
    </row>
    <row r="50" spans="1:3" ht="12.75">
      <c r="A50">
        <f t="shared" si="5"/>
        <v>0.6292036732051037</v>
      </c>
      <c r="B50">
        <f t="shared" si="6"/>
        <v>0.588501117255346</v>
      </c>
      <c r="C50">
        <f t="shared" si="7"/>
        <v>0.9516020738895161</v>
      </c>
    </row>
    <row r="51" spans="1:3" ht="12.75">
      <c r="A51">
        <f t="shared" si="5"/>
        <v>0.7292036732051037</v>
      </c>
      <c r="B51">
        <f t="shared" si="6"/>
        <v>0.6662760212798244</v>
      </c>
      <c r="C51">
        <f t="shared" si="7"/>
        <v>0.9936910036334645</v>
      </c>
    </row>
    <row r="52" spans="1:3" ht="12.75">
      <c r="A52">
        <f t="shared" si="5"/>
        <v>0.8292036732051037</v>
      </c>
      <c r="B52">
        <f t="shared" si="6"/>
        <v>0.7373937155412457</v>
      </c>
      <c r="C52">
        <f t="shared" si="7"/>
        <v>0.9961646088358406</v>
      </c>
    </row>
    <row r="53" spans="1:3" ht="12.75">
      <c r="A53">
        <f t="shared" si="5"/>
        <v>0.9292036732051037</v>
      </c>
      <c r="B53">
        <f t="shared" si="6"/>
        <v>0.8011436155469339</v>
      </c>
      <c r="C53">
        <f t="shared" si="7"/>
        <v>0.9589242746631383</v>
      </c>
    </row>
    <row r="54" spans="1:3" ht="12.75">
      <c r="A54">
        <f t="shared" si="5"/>
        <v>1.0292036732051038</v>
      </c>
      <c r="B54">
        <f t="shared" si="6"/>
        <v>0.8568887533689474</v>
      </c>
      <c r="C54">
        <f t="shared" si="7"/>
        <v>0.8834546557201529</v>
      </c>
    </row>
    <row r="55" spans="1:3" ht="12.75">
      <c r="A55">
        <f t="shared" si="5"/>
        <v>1.1292036732051038</v>
      </c>
      <c r="B55">
        <f t="shared" si="6"/>
        <v>0.9040721420170613</v>
      </c>
      <c r="C55">
        <f t="shared" si="7"/>
        <v>0.7727644875559868</v>
      </c>
    </row>
    <row r="56" spans="1:3" ht="12.75">
      <c r="A56">
        <f t="shared" si="5"/>
        <v>1.229203673205104</v>
      </c>
      <c r="B56">
        <f t="shared" si="6"/>
        <v>0.9422223406686583</v>
      </c>
      <c r="C56">
        <f t="shared" si="7"/>
        <v>0.6312666378723205</v>
      </c>
    </row>
    <row r="57" spans="1:3" ht="12.75">
      <c r="A57">
        <f t="shared" si="5"/>
        <v>1.329203673205104</v>
      </c>
      <c r="B57">
        <f t="shared" si="6"/>
        <v>0.9709581651495907</v>
      </c>
      <c r="C57">
        <f t="shared" si="7"/>
        <v>0.4646021794137561</v>
      </c>
    </row>
    <row r="58" spans="1:3" ht="12.75">
      <c r="A58">
        <f t="shared" si="5"/>
        <v>1.429203673205104</v>
      </c>
      <c r="B58">
        <f t="shared" si="6"/>
        <v>0.9899924966004455</v>
      </c>
      <c r="C58">
        <f t="shared" si="7"/>
        <v>0.2794154981989245</v>
      </c>
    </row>
    <row r="59" spans="1:3" ht="12.75">
      <c r="A59">
        <f t="shared" si="5"/>
        <v>1.5292036732051042</v>
      </c>
      <c r="B59">
        <f>SIN(A59)</f>
        <v>0.9991351502732795</v>
      </c>
      <c r="C59">
        <f t="shared" si="7"/>
        <v>0.08308940281749495</v>
      </c>
    </row>
  </sheetData>
  <sheetProtection/>
  <mergeCells count="4">
    <mergeCell ref="A2:O2"/>
    <mergeCell ref="A6:A7"/>
    <mergeCell ref="E16:F16"/>
    <mergeCell ref="E28:L2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L21"/>
  <sheetViews>
    <sheetView zoomScalePageLayoutView="0" workbookViewId="0" topLeftCell="A1">
      <selection activeCell="H13" sqref="H13"/>
    </sheetView>
  </sheetViews>
  <sheetFormatPr defaultColWidth="9.140625" defaultRowHeight="12.75"/>
  <sheetData>
    <row r="1" spans="1:12" ht="12.75">
      <c r="A1" s="264" t="s">
        <v>98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7" ht="51">
      <c r="A2" s="132" t="s">
        <v>91</v>
      </c>
      <c r="B2" s="133" t="s">
        <v>1</v>
      </c>
      <c r="C2" s="134" t="s">
        <v>92</v>
      </c>
      <c r="D2" s="135"/>
      <c r="E2" s="136"/>
      <c r="F2" s="136"/>
      <c r="G2" s="136"/>
    </row>
    <row r="3" spans="1:7" ht="12.75">
      <c r="A3" s="137" t="s">
        <v>93</v>
      </c>
      <c r="B3" s="138">
        <v>12.57</v>
      </c>
      <c r="C3" s="139"/>
      <c r="D3" s="135"/>
      <c r="E3" s="136"/>
      <c r="F3" s="140"/>
      <c r="G3" s="136"/>
    </row>
    <row r="4" spans="1:7" ht="12.75">
      <c r="A4" s="137" t="s">
        <v>94</v>
      </c>
      <c r="B4" s="138">
        <v>8.93</v>
      </c>
      <c r="C4" s="139"/>
      <c r="D4" s="135"/>
      <c r="E4" s="263"/>
      <c r="F4" s="263"/>
      <c r="G4" s="135"/>
    </row>
    <row r="5" spans="1:7" ht="12.75">
      <c r="A5" s="137" t="s">
        <v>95</v>
      </c>
      <c r="B5" s="138">
        <v>13.99</v>
      </c>
      <c r="C5" s="139"/>
      <c r="D5" s="135"/>
      <c r="E5" s="135"/>
      <c r="F5" s="135"/>
      <c r="G5" s="135"/>
    </row>
    <row r="6" spans="1:7" ht="12.75">
      <c r="A6" s="137" t="s">
        <v>96</v>
      </c>
      <c r="B6" s="141">
        <v>4.55</v>
      </c>
      <c r="C6" s="142"/>
      <c r="D6" s="143"/>
      <c r="E6" s="135"/>
      <c r="F6" s="135"/>
      <c r="G6" s="135"/>
    </row>
    <row r="7" spans="1:7" ht="12.75">
      <c r="A7" s="137" t="s">
        <v>97</v>
      </c>
      <c r="B7" s="141">
        <v>18.73</v>
      </c>
      <c r="C7" s="142"/>
      <c r="D7" s="144"/>
      <c r="E7" s="135"/>
      <c r="F7" s="135"/>
      <c r="G7" s="135"/>
    </row>
    <row r="9" spans="1:8" ht="12.75">
      <c r="A9" s="155" t="s">
        <v>107</v>
      </c>
      <c r="B9" s="145"/>
      <c r="C9" s="145"/>
      <c r="D9" s="145"/>
      <c r="E9" s="135"/>
      <c r="F9" s="135"/>
      <c r="G9" s="135"/>
      <c r="H9" s="135"/>
    </row>
    <row r="10" spans="1:8" ht="12.75">
      <c r="A10" s="145" t="s">
        <v>108</v>
      </c>
      <c r="B10" s="145"/>
      <c r="C10" s="145"/>
      <c r="D10" s="145"/>
      <c r="E10" s="135"/>
      <c r="F10" s="135"/>
      <c r="G10" s="135"/>
      <c r="H10" s="135"/>
    </row>
    <row r="11" spans="1:8" ht="12.75">
      <c r="A11" s="145"/>
      <c r="B11" s="145"/>
      <c r="C11" s="146" t="s">
        <v>99</v>
      </c>
      <c r="D11" s="267" t="s">
        <v>109</v>
      </c>
      <c r="E11" s="267"/>
      <c r="F11" s="135"/>
      <c r="G11" s="135"/>
      <c r="H11" s="135"/>
    </row>
    <row r="12" spans="1:8" ht="13.5" thickBot="1">
      <c r="A12" s="147"/>
      <c r="B12" s="148" t="s">
        <v>100</v>
      </c>
      <c r="C12" s="149" t="s">
        <v>101</v>
      </c>
      <c r="D12" s="265"/>
      <c r="E12" s="266"/>
      <c r="F12" s="135"/>
      <c r="G12" s="135"/>
      <c r="H12" s="135"/>
    </row>
    <row r="13" spans="1:8" ht="13.5" thickTop="1">
      <c r="A13" s="150" t="s">
        <v>102</v>
      </c>
      <c r="B13" s="151">
        <v>19</v>
      </c>
      <c r="C13" s="152"/>
      <c r="D13" s="145"/>
      <c r="E13" s="135"/>
      <c r="F13" s="135"/>
      <c r="G13" s="135"/>
      <c r="H13" s="135"/>
    </row>
    <row r="14" spans="1:8" ht="12.75">
      <c r="A14" s="153" t="s">
        <v>103</v>
      </c>
      <c r="B14" s="154">
        <v>17</v>
      </c>
      <c r="C14" s="152"/>
      <c r="D14" s="145"/>
      <c r="E14" s="135"/>
      <c r="F14" s="135"/>
      <c r="G14" s="135"/>
      <c r="H14" s="135"/>
    </row>
    <row r="15" spans="1:8" ht="12.75">
      <c r="A15" s="153" t="s">
        <v>104</v>
      </c>
      <c r="B15" s="154">
        <v>15</v>
      </c>
      <c r="C15" s="152"/>
      <c r="D15" s="145"/>
      <c r="E15" s="135"/>
      <c r="F15" s="135"/>
      <c r="G15" s="135"/>
      <c r="H15" s="135"/>
    </row>
    <row r="16" spans="1:8" ht="12.75">
      <c r="A16" s="153" t="s">
        <v>105</v>
      </c>
      <c r="B16" s="154">
        <v>18</v>
      </c>
      <c r="C16" s="152"/>
      <c r="D16" s="145"/>
      <c r="E16" s="135"/>
      <c r="F16" s="135"/>
      <c r="G16" s="135"/>
      <c r="H16" s="135"/>
    </row>
    <row r="17" spans="1:8" ht="12.75">
      <c r="A17" s="153" t="s">
        <v>106</v>
      </c>
      <c r="B17" s="154">
        <v>16</v>
      </c>
      <c r="C17" s="152"/>
      <c r="D17" s="145"/>
      <c r="E17" s="135"/>
      <c r="F17" s="135"/>
      <c r="G17" s="135"/>
      <c r="H17" s="135"/>
    </row>
    <row r="19" spans="1:8" ht="12.75">
      <c r="A19" s="7" t="s">
        <v>111</v>
      </c>
      <c r="B19" s="135"/>
      <c r="C19" s="135"/>
      <c r="D19" s="135"/>
      <c r="E19" s="135"/>
      <c r="F19" s="135"/>
      <c r="G19" s="135"/>
      <c r="H19" s="135"/>
    </row>
    <row r="20" spans="1:8" ht="12.75">
      <c r="A20" s="135"/>
      <c r="B20" s="135"/>
      <c r="C20" s="135"/>
      <c r="D20" s="135"/>
      <c r="E20" s="135"/>
      <c r="F20" s="135"/>
      <c r="G20" s="135"/>
      <c r="H20" s="135"/>
    </row>
    <row r="21" spans="1:8" ht="12.75">
      <c r="A21" s="135" t="s">
        <v>110</v>
      </c>
      <c r="B21" s="135"/>
      <c r="C21" s="135"/>
      <c r="D21" s="135"/>
      <c r="E21" s="135"/>
      <c r="F21" s="135"/>
      <c r="G21" s="135"/>
      <c r="H21" s="135"/>
    </row>
  </sheetData>
  <sheetProtection/>
  <mergeCells count="4">
    <mergeCell ref="E4:F4"/>
    <mergeCell ref="A1:L1"/>
    <mergeCell ref="D12:E12"/>
    <mergeCell ref="D11:E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L56"/>
  <sheetViews>
    <sheetView zoomScalePageLayoutView="0" workbookViewId="0" topLeftCell="A1">
      <selection activeCell="D12" sqref="D12:E12"/>
    </sheetView>
  </sheetViews>
  <sheetFormatPr defaultColWidth="9.140625" defaultRowHeight="12.75"/>
  <sheetData>
    <row r="1" spans="1:12" ht="12.75">
      <c r="A1" s="264" t="s">
        <v>98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7" ht="51">
      <c r="A2" s="132" t="s">
        <v>91</v>
      </c>
      <c r="B2" s="133" t="s">
        <v>1</v>
      </c>
      <c r="C2" s="134" t="s">
        <v>92</v>
      </c>
      <c r="D2" s="135"/>
      <c r="E2" s="136"/>
      <c r="F2" s="136"/>
      <c r="G2" s="136"/>
    </row>
    <row r="3" spans="1:7" ht="12.75">
      <c r="A3" s="137" t="s">
        <v>93</v>
      </c>
      <c r="B3" s="138">
        <v>12.57</v>
      </c>
      <c r="C3" s="139">
        <v>120</v>
      </c>
      <c r="D3" s="135"/>
      <c r="E3" s="136"/>
      <c r="F3" s="140"/>
      <c r="G3" s="136"/>
    </row>
    <row r="4" spans="1:7" ht="12.75">
      <c r="A4" s="137" t="s">
        <v>94</v>
      </c>
      <c r="B4" s="138">
        <v>8.93</v>
      </c>
      <c r="C4" s="139">
        <v>245</v>
      </c>
      <c r="D4" s="135"/>
      <c r="E4" s="263"/>
      <c r="F4" s="263"/>
      <c r="G4" s="135"/>
    </row>
    <row r="5" spans="1:7" ht="12.75">
      <c r="A5" s="137" t="s">
        <v>95</v>
      </c>
      <c r="B5" s="138">
        <v>13.99</v>
      </c>
      <c r="C5" s="139">
        <v>32</v>
      </c>
      <c r="D5" s="135"/>
      <c r="E5" s="135"/>
      <c r="F5" s="135"/>
      <c r="G5" s="135"/>
    </row>
    <row r="6" spans="1:7" ht="12.75">
      <c r="A6" s="137" t="s">
        <v>96</v>
      </c>
      <c r="B6" s="141">
        <v>4.55</v>
      </c>
      <c r="C6" s="142">
        <v>576</v>
      </c>
      <c r="D6" s="143"/>
      <c r="E6" s="135"/>
      <c r="F6" s="135"/>
      <c r="G6" s="135"/>
    </row>
    <row r="7" spans="1:7" ht="12.75">
      <c r="A7" s="137" t="s">
        <v>97</v>
      </c>
      <c r="B7" s="141">
        <v>18.73</v>
      </c>
      <c r="C7" s="142">
        <v>267</v>
      </c>
      <c r="D7" s="144">
        <f>SUMIF(B3:B7,"&gt;10",C3:C7)</f>
        <v>419</v>
      </c>
      <c r="E7" s="135"/>
      <c r="F7" s="135"/>
      <c r="G7" s="135"/>
    </row>
    <row r="9" spans="1:6" ht="12.75">
      <c r="A9" s="155" t="s">
        <v>107</v>
      </c>
      <c r="B9" s="145"/>
      <c r="C9" s="145"/>
      <c r="D9" s="145"/>
      <c r="E9" s="135"/>
      <c r="F9" s="135"/>
    </row>
    <row r="10" spans="1:6" ht="12.75">
      <c r="A10" s="145" t="s">
        <v>108</v>
      </c>
      <c r="B10" s="145"/>
      <c r="C10" s="145"/>
      <c r="D10" s="145"/>
      <c r="E10" s="135"/>
      <c r="F10" s="135"/>
    </row>
    <row r="11" spans="1:6" ht="12.75">
      <c r="A11" s="145"/>
      <c r="B11" s="145"/>
      <c r="C11" s="146" t="s">
        <v>99</v>
      </c>
      <c r="D11" s="267" t="s">
        <v>109</v>
      </c>
      <c r="E11" s="267"/>
      <c r="F11" s="135"/>
    </row>
    <row r="12" spans="1:6" ht="13.5" thickBot="1">
      <c r="A12" s="147"/>
      <c r="B12" s="148" t="s">
        <v>100</v>
      </c>
      <c r="C12" s="149" t="s">
        <v>101</v>
      </c>
      <c r="D12" s="265">
        <f>COUNTIF(C13:C17,"da")</f>
        <v>2</v>
      </c>
      <c r="E12" s="266"/>
      <c r="F12" s="135"/>
    </row>
    <row r="13" spans="1:6" ht="13.5" thickTop="1">
      <c r="A13" s="150" t="s">
        <v>102</v>
      </c>
      <c r="B13" s="151">
        <v>19</v>
      </c>
      <c r="C13" s="152" t="str">
        <f>IF(B13&gt;=18,"da","ne")</f>
        <v>da</v>
      </c>
      <c r="D13" s="145"/>
      <c r="E13" s="135"/>
      <c r="F13" s="135"/>
    </row>
    <row r="14" spans="1:6" ht="12.75">
      <c r="A14" s="153" t="s">
        <v>103</v>
      </c>
      <c r="B14" s="154">
        <v>17</v>
      </c>
      <c r="C14" s="152" t="str">
        <f>IF(B14&gt;=18,"da","ne")</f>
        <v>ne</v>
      </c>
      <c r="D14" s="145"/>
      <c r="E14" s="135"/>
      <c r="F14" s="135"/>
    </row>
    <row r="15" spans="1:6" ht="12.75">
      <c r="A15" s="153" t="s">
        <v>104</v>
      </c>
      <c r="B15" s="154">
        <v>15</v>
      </c>
      <c r="C15" s="152" t="str">
        <f>IF(B15&gt;=18,"da","ne")</f>
        <v>ne</v>
      </c>
      <c r="D15" s="145"/>
      <c r="E15" s="135"/>
      <c r="F15" s="135"/>
    </row>
    <row r="16" spans="1:6" ht="12.75">
      <c r="A16" s="153" t="s">
        <v>105</v>
      </c>
      <c r="B16" s="154">
        <v>18</v>
      </c>
      <c r="C16" s="152" t="str">
        <f>IF(B16&gt;=18,"da","ne")</f>
        <v>da</v>
      </c>
      <c r="D16" s="145"/>
      <c r="E16" s="135"/>
      <c r="F16" s="135"/>
    </row>
    <row r="17" spans="1:6" ht="12.75">
      <c r="A17" s="153" t="s">
        <v>106</v>
      </c>
      <c r="B17" s="154">
        <v>16</v>
      </c>
      <c r="C17" s="152" t="str">
        <f>IF(B17&gt;=18,"da","ne")</f>
        <v>ne</v>
      </c>
      <c r="D17" s="145"/>
      <c r="E17" s="135"/>
      <c r="F17" s="135"/>
    </row>
    <row r="19" spans="1:8" ht="12.75">
      <c r="A19" s="7" t="s">
        <v>111</v>
      </c>
      <c r="B19" s="135"/>
      <c r="C19" s="135"/>
      <c r="D19" s="135"/>
      <c r="E19" s="135"/>
      <c r="F19" s="135"/>
      <c r="G19" s="135"/>
      <c r="H19" s="135"/>
    </row>
    <row r="20" spans="1:8" ht="12.75">
      <c r="A20" s="135"/>
      <c r="B20" s="135"/>
      <c r="C20" s="135"/>
      <c r="D20" s="135"/>
      <c r="E20" s="135"/>
      <c r="F20" s="135"/>
      <c r="G20" s="135"/>
      <c r="H20" s="135"/>
    </row>
    <row r="21" spans="1:8" ht="12.75">
      <c r="A21" s="135" t="s">
        <v>110</v>
      </c>
      <c r="B21" s="135"/>
      <c r="C21" s="135"/>
      <c r="D21" s="135"/>
      <c r="E21" s="135"/>
      <c r="F21" s="135"/>
      <c r="G21" s="135"/>
      <c r="H21" s="135"/>
    </row>
    <row r="22" spans="1:8" ht="12.75">
      <c r="A22" s="135"/>
      <c r="B22" s="135"/>
      <c r="C22" s="135"/>
      <c r="D22" s="135"/>
      <c r="E22" s="135"/>
      <c r="F22" s="135"/>
      <c r="G22" s="135"/>
      <c r="H22" s="135"/>
    </row>
    <row r="23" spans="1:8" ht="12.75">
      <c r="A23" s="135" t="s">
        <v>85</v>
      </c>
      <c r="B23" s="135" t="s">
        <v>86</v>
      </c>
      <c r="C23" s="135"/>
      <c r="D23" s="135"/>
      <c r="E23" s="135"/>
      <c r="F23" s="135"/>
      <c r="G23" s="135"/>
      <c r="H23" s="135"/>
    </row>
    <row r="24" spans="1:8" ht="12.75">
      <c r="A24" s="135">
        <f>-PI()/2</f>
        <v>-1.5707963267948966</v>
      </c>
      <c r="B24" s="135">
        <f>SIN(A24)-COS(2*A24)</f>
        <v>0</v>
      </c>
      <c r="C24" s="135"/>
      <c r="D24" s="135"/>
      <c r="E24" s="135"/>
      <c r="F24" s="135"/>
      <c r="G24" s="135"/>
      <c r="H24" s="135"/>
    </row>
    <row r="25" spans="1:8" ht="12.75">
      <c r="A25" s="135">
        <f aca="true" t="shared" si="0" ref="A25:A55">A24+0.1</f>
        <v>-1.4707963267948965</v>
      </c>
      <c r="B25" s="135">
        <f aca="true" t="shared" si="1" ref="B25:B55">SIN(A25)-COS(2*A25)</f>
        <v>-0.014937587436784083</v>
      </c>
      <c r="C25" s="135"/>
      <c r="D25" s="135"/>
      <c r="E25" s="135"/>
      <c r="F25" s="135"/>
      <c r="G25" s="135"/>
      <c r="H25" s="135"/>
    </row>
    <row r="26" spans="1:8" ht="12.75">
      <c r="A26" s="135">
        <f t="shared" si="0"/>
        <v>-1.3707963267948964</v>
      </c>
      <c r="B26" s="135">
        <f t="shared" si="1"/>
        <v>-0.059005583838356745</v>
      </c>
      <c r="C26" s="135"/>
      <c r="D26" s="135"/>
      <c r="E26" s="135"/>
      <c r="F26" s="135"/>
      <c r="G26" s="135"/>
      <c r="H26" s="135"/>
    </row>
    <row r="27" spans="1:8" ht="12.75">
      <c r="A27" s="135">
        <f t="shared" si="0"/>
        <v>-1.2707963267948963</v>
      </c>
      <c r="B27" s="135">
        <f t="shared" si="1"/>
        <v>-0.130000874215928</v>
      </c>
      <c r="C27" s="135"/>
      <c r="D27" s="135"/>
      <c r="E27" s="135"/>
      <c r="F27" s="135"/>
      <c r="G27" s="135"/>
      <c r="H27" s="135"/>
    </row>
    <row r="28" spans="1:8" ht="12.75">
      <c r="A28" s="135">
        <f t="shared" si="0"/>
        <v>-1.1707963267948962</v>
      </c>
      <c r="B28" s="135">
        <f t="shared" si="1"/>
        <v>-0.22435428465572005</v>
      </c>
      <c r="C28" s="135"/>
      <c r="D28" s="135"/>
      <c r="E28" s="135"/>
      <c r="F28" s="135"/>
      <c r="G28" s="135"/>
      <c r="H28" s="135"/>
    </row>
    <row r="29" spans="1:8" ht="12.75">
      <c r="A29" s="135">
        <f t="shared" si="0"/>
        <v>-1.0707963267948961</v>
      </c>
      <c r="B29" s="135">
        <f t="shared" si="1"/>
        <v>-0.33728025602223355</v>
      </c>
      <c r="C29" s="135"/>
      <c r="D29" s="135"/>
      <c r="E29" s="135"/>
      <c r="F29" s="135"/>
      <c r="G29" s="135"/>
      <c r="H29" s="135"/>
    </row>
    <row r="30" spans="1:8" ht="12.75">
      <c r="A30" s="135">
        <f t="shared" si="0"/>
        <v>-0.9707963267948961</v>
      </c>
      <c r="B30" s="135">
        <f t="shared" si="1"/>
        <v>-0.4629778604330053</v>
      </c>
      <c r="C30" s="135"/>
      <c r="D30" s="135"/>
      <c r="E30" s="135"/>
      <c r="F30" s="135"/>
      <c r="G30" s="135"/>
      <c r="H30" s="135"/>
    </row>
    <row r="31" spans="1:8" ht="12.75">
      <c r="A31" s="135">
        <f t="shared" si="0"/>
        <v>-0.8707963267948962</v>
      </c>
      <c r="B31" s="135">
        <f t="shared" si="1"/>
        <v>-0.5948750443842481</v>
      </c>
      <c r="C31" s="135"/>
      <c r="D31" s="135"/>
      <c r="E31" s="135"/>
      <c r="F31" s="135"/>
      <c r="G31" s="135"/>
      <c r="H31" s="135"/>
    </row>
    <row r="32" spans="1:8" ht="12.75">
      <c r="A32" s="135">
        <f t="shared" si="0"/>
        <v>-0.7707963267948962</v>
      </c>
      <c r="B32" s="135">
        <f t="shared" si="1"/>
        <v>-0.7259062316484547</v>
      </c>
      <c r="C32" s="135"/>
      <c r="D32" s="135"/>
      <c r="E32" s="135"/>
      <c r="F32" s="135"/>
      <c r="G32" s="135"/>
      <c r="H32" s="135"/>
    </row>
    <row r="33" spans="1:8" ht="12.75">
      <c r="A33" s="135">
        <f t="shared" si="0"/>
        <v>-0.6707963267948962</v>
      </c>
      <c r="B33" s="135">
        <f t="shared" si="1"/>
        <v>-0.848812062963752</v>
      </c>
      <c r="C33" s="135"/>
      <c r="D33" s="135"/>
      <c r="E33" s="135"/>
      <c r="F33" s="135"/>
      <c r="G33" s="135"/>
      <c r="H33" s="135"/>
    </row>
    <row r="34" spans="1:8" ht="12.75">
      <c r="A34" s="135">
        <f t="shared" si="0"/>
        <v>-0.5707963267948962</v>
      </c>
      <c r="B34" s="135">
        <f t="shared" si="1"/>
        <v>-0.9564491424152826</v>
      </c>
      <c r="C34" s="135"/>
      <c r="D34" s="135"/>
      <c r="E34" s="135"/>
      <c r="F34" s="135"/>
      <c r="G34" s="135"/>
      <c r="H34" s="135"/>
    </row>
    <row r="35" spans="1:8" ht="12.75">
      <c r="A35" s="135">
        <f t="shared" si="0"/>
        <v>-0.47079632679489625</v>
      </c>
      <c r="B35" s="135">
        <f t="shared" si="1"/>
        <v>-1.0420972386809233</v>
      </c>
      <c r="C35" s="135"/>
      <c r="D35" s="135"/>
      <c r="E35" s="135"/>
      <c r="F35" s="135"/>
      <c r="G35" s="135"/>
      <c r="H35" s="135"/>
    </row>
    <row r="36" spans="1:8" ht="12.75">
      <c r="A36" s="135">
        <f t="shared" si="0"/>
        <v>-0.37079632679489627</v>
      </c>
      <c r="B36" s="135">
        <f t="shared" si="1"/>
        <v>-1.0997514700179192</v>
      </c>
      <c r="C36" s="135"/>
      <c r="D36" s="135"/>
      <c r="E36" s="135"/>
      <c r="F36" s="135"/>
      <c r="G36" s="135"/>
      <c r="H36" s="135"/>
    </row>
    <row r="37" spans="1:8" ht="12.75">
      <c r="A37" s="135">
        <f t="shared" si="0"/>
        <v>-0.2707963267948963</v>
      </c>
      <c r="B37" s="135">
        <f t="shared" si="1"/>
        <v>-1.1243875819935347</v>
      </c>
      <c r="C37" s="135"/>
      <c r="D37" s="135"/>
      <c r="E37" s="135"/>
      <c r="F37" s="135"/>
      <c r="G37" s="135"/>
      <c r="H37" s="135"/>
    </row>
    <row r="38" spans="1:8" ht="12.75">
      <c r="A38" s="135">
        <f t="shared" si="0"/>
        <v>-0.17079632679489629</v>
      </c>
      <c r="B38" s="135">
        <f t="shared" si="1"/>
        <v>-1.112189483568899</v>
      </c>
      <c r="C38" s="135"/>
      <c r="D38" s="135"/>
      <c r="E38" s="135"/>
      <c r="F38" s="135"/>
      <c r="G38" s="135"/>
      <c r="H38" s="135"/>
    </row>
    <row r="39" spans="1:8" ht="12.75">
      <c r="A39" s="135">
        <f t="shared" si="0"/>
        <v>-0.07079632679489628</v>
      </c>
      <c r="B39" s="135">
        <f t="shared" si="1"/>
        <v>-1.060729698268148</v>
      </c>
      <c r="C39" s="135"/>
      <c r="D39" s="135"/>
      <c r="E39" s="135"/>
      <c r="F39" s="135"/>
      <c r="G39" s="135"/>
      <c r="H39" s="135"/>
    </row>
    <row r="40" spans="1:8" ht="12.75">
      <c r="A40" s="135">
        <f t="shared" si="0"/>
        <v>0.029203673205103725</v>
      </c>
      <c r="B40" s="135">
        <f t="shared" si="1"/>
        <v>-0.9690952534934639</v>
      </c>
      <c r="C40" s="135"/>
      <c r="D40" s="135"/>
      <c r="E40" s="135"/>
      <c r="F40" s="135"/>
      <c r="G40" s="135"/>
      <c r="H40" s="135"/>
    </row>
    <row r="41" spans="1:8" ht="12.75">
      <c r="A41" s="135">
        <f t="shared" si="0"/>
        <v>0.12920367320510373</v>
      </c>
      <c r="B41" s="135">
        <f t="shared" si="1"/>
        <v>-0.8379536982839358</v>
      </c>
      <c r="C41" s="135"/>
      <c r="D41" s="135"/>
      <c r="E41" s="135"/>
      <c r="F41" s="135"/>
      <c r="G41" s="135"/>
      <c r="H41" s="135"/>
    </row>
    <row r="42" spans="1:8" ht="12.75">
      <c r="A42" s="135">
        <f t="shared" si="0"/>
        <v>0.22920367320510374</v>
      </c>
      <c r="B42" s="135">
        <f t="shared" si="1"/>
        <v>-0.6695563216410593</v>
      </c>
      <c r="C42" s="135"/>
      <c r="D42" s="135"/>
      <c r="E42" s="135"/>
      <c r="F42" s="135"/>
      <c r="G42" s="135"/>
      <c r="H42" s="135"/>
    </row>
    <row r="43" spans="1:8" ht="12.75">
      <c r="A43" s="135">
        <f t="shared" si="0"/>
        <v>0.32920367320510374</v>
      </c>
      <c r="B43" s="135">
        <f t="shared" si="1"/>
        <v>-0.46767814505091254</v>
      </c>
      <c r="C43" s="135"/>
      <c r="D43" s="135"/>
      <c r="E43" s="135"/>
      <c r="F43" s="135"/>
      <c r="G43" s="135"/>
      <c r="H43" s="135"/>
    </row>
    <row r="44" spans="1:8" ht="12.75">
      <c r="A44" s="135">
        <f t="shared" si="0"/>
        <v>0.4292036732051038</v>
      </c>
      <c r="B44" s="135">
        <f t="shared" si="1"/>
        <v>-0.23749678431646853</v>
      </c>
      <c r="C44" s="135"/>
      <c r="D44" s="135"/>
      <c r="E44" s="135"/>
      <c r="F44" s="135"/>
      <c r="G44" s="135"/>
      <c r="H44" s="135"/>
    </row>
    <row r="45" spans="1:8" ht="12.75">
      <c r="A45" s="135">
        <f t="shared" si="0"/>
        <v>0.5292036732051038</v>
      </c>
      <c r="B45" s="135">
        <f t="shared" si="1"/>
        <v>0.014585283259158865</v>
      </c>
      <c r="C45" s="135"/>
      <c r="D45" s="135"/>
      <c r="E45" s="135"/>
      <c r="F45" s="135"/>
      <c r="G45" s="135"/>
      <c r="H45" s="135"/>
    </row>
    <row r="46" spans="1:8" ht="12.75">
      <c r="A46" s="135">
        <f t="shared" si="0"/>
        <v>0.6292036732051037</v>
      </c>
      <c r="B46" s="135">
        <f t="shared" si="1"/>
        <v>0.281168247276927</v>
      </c>
      <c r="C46" s="135"/>
      <c r="D46" s="135"/>
      <c r="E46" s="135"/>
      <c r="F46" s="135"/>
      <c r="G46" s="135"/>
      <c r="H46" s="135"/>
    </row>
    <row r="47" spans="1:8" ht="12.75">
      <c r="A47" s="135">
        <f t="shared" si="0"/>
        <v>0.7292036732051037</v>
      </c>
      <c r="B47" s="135">
        <f t="shared" si="1"/>
        <v>0.5541234943447706</v>
      </c>
      <c r="C47" s="135"/>
      <c r="D47" s="135"/>
      <c r="E47" s="135"/>
      <c r="F47" s="135"/>
      <c r="G47" s="135"/>
      <c r="H47" s="135"/>
    </row>
    <row r="48" spans="1:8" ht="12.75">
      <c r="A48" s="135">
        <f t="shared" si="0"/>
        <v>0.8292036732051037</v>
      </c>
      <c r="B48" s="135">
        <f t="shared" si="1"/>
        <v>0.8248926989806928</v>
      </c>
      <c r="C48" s="135"/>
      <c r="D48" s="135"/>
      <c r="E48" s="135"/>
      <c r="F48" s="135"/>
      <c r="G48" s="135"/>
      <c r="H48" s="135"/>
    </row>
    <row r="49" spans="1:8" ht="12.75">
      <c r="A49" s="135">
        <f t="shared" si="0"/>
        <v>0.9292036732051037</v>
      </c>
      <c r="B49" s="135">
        <f t="shared" si="1"/>
        <v>1.0848058010101607</v>
      </c>
      <c r="C49" s="135"/>
      <c r="D49" s="135"/>
      <c r="E49" s="135"/>
      <c r="F49" s="135"/>
      <c r="G49" s="135"/>
      <c r="H49" s="135"/>
    </row>
    <row r="50" spans="1:8" ht="12.75">
      <c r="A50" s="135">
        <f t="shared" si="0"/>
        <v>1.0292036732051038</v>
      </c>
      <c r="B50" s="135">
        <f t="shared" si="1"/>
        <v>1.325405424669325</v>
      </c>
      <c r="C50" s="135"/>
      <c r="D50" s="135"/>
      <c r="E50" s="135"/>
      <c r="F50" s="135"/>
      <c r="G50" s="135"/>
      <c r="H50" s="135"/>
    </row>
    <row r="51" spans="1:8" ht="12.75">
      <c r="A51" s="135">
        <f t="shared" si="0"/>
        <v>1.1292036732051038</v>
      </c>
      <c r="B51" s="135">
        <f t="shared" si="1"/>
        <v>1.5387650179596966</v>
      </c>
      <c r="C51" s="135"/>
      <c r="D51" s="135"/>
      <c r="E51" s="135"/>
      <c r="F51" s="135"/>
      <c r="G51" s="135"/>
      <c r="H51" s="135"/>
    </row>
    <row r="52" spans="1:8" ht="12.75">
      <c r="A52" s="135">
        <f t="shared" si="0"/>
        <v>1.229203673205104</v>
      </c>
      <c r="B52" s="135">
        <f t="shared" si="1"/>
        <v>1.717788219178909</v>
      </c>
      <c r="C52" s="135"/>
      <c r="D52" s="135"/>
      <c r="E52" s="135"/>
      <c r="F52" s="135"/>
      <c r="G52" s="135"/>
      <c r="H52" s="135"/>
    </row>
    <row r="53" spans="1:8" ht="12.75">
      <c r="A53" s="135">
        <f t="shared" si="0"/>
        <v>1.329203673205104</v>
      </c>
      <c r="B53" s="135">
        <f t="shared" si="1"/>
        <v>1.8564776820909104</v>
      </c>
      <c r="C53" s="135"/>
      <c r="D53" s="135"/>
      <c r="E53" s="135"/>
      <c r="F53" s="135"/>
      <c r="G53" s="135"/>
      <c r="H53" s="135"/>
    </row>
    <row r="54" spans="1:8" ht="12.75">
      <c r="A54" s="135">
        <f t="shared" si="0"/>
        <v>1.429203673205104</v>
      </c>
      <c r="B54" s="135">
        <f t="shared" si="1"/>
        <v>1.950162783250812</v>
      </c>
      <c r="C54" s="135"/>
      <c r="D54" s="135"/>
      <c r="E54" s="135"/>
      <c r="F54" s="135"/>
      <c r="G54" s="135"/>
      <c r="H54" s="135"/>
    </row>
    <row r="55" spans="1:8" ht="12.75">
      <c r="A55" s="135">
        <f t="shared" si="0"/>
        <v>1.5292036732051042</v>
      </c>
      <c r="B55" s="135">
        <f t="shared" si="1"/>
        <v>1.9956772472964972</v>
      </c>
      <c r="C55" s="135"/>
      <c r="D55" s="135"/>
      <c r="E55" s="135"/>
      <c r="F55" s="135"/>
      <c r="G55" s="135"/>
      <c r="H55" s="135"/>
    </row>
    <row r="56" spans="1:8" ht="12.75">
      <c r="A56" s="135"/>
      <c r="B56" s="135"/>
      <c r="C56" s="135"/>
      <c r="D56" s="135"/>
      <c r="E56" s="135"/>
      <c r="F56" s="135"/>
      <c r="G56" s="135"/>
      <c r="H56" s="135"/>
    </row>
  </sheetData>
  <sheetProtection/>
  <mergeCells count="4">
    <mergeCell ref="A1:L1"/>
    <mergeCell ref="E4:F4"/>
    <mergeCell ref="D11:E11"/>
    <mergeCell ref="D12:E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s="156" t="s">
        <v>124</v>
      </c>
    </row>
    <row r="2" ht="12.75">
      <c r="A2" s="156"/>
    </row>
    <row r="3" ht="12.75">
      <c r="A3" s="156"/>
    </row>
    <row r="4" spans="1:7" ht="26.25" thickBot="1">
      <c r="A4" s="157"/>
      <c r="B4" s="158" t="s">
        <v>112</v>
      </c>
      <c r="C4" s="172" t="s">
        <v>72</v>
      </c>
      <c r="E4" s="268" t="s">
        <v>113</v>
      </c>
      <c r="F4" s="269"/>
      <c r="G4" s="270"/>
    </row>
    <row r="5" spans="1:7" ht="13.5" thickTop="1">
      <c r="A5" s="160" t="s">
        <v>114</v>
      </c>
      <c r="B5" s="171">
        <v>0.76</v>
      </c>
      <c r="C5" s="173"/>
      <c r="E5" s="163" t="s">
        <v>115</v>
      </c>
      <c r="F5" s="107"/>
      <c r="G5" s="164"/>
    </row>
    <row r="6" spans="1:7" ht="12.75">
      <c r="A6" s="88" t="s">
        <v>116</v>
      </c>
      <c r="B6" s="169">
        <v>0.98</v>
      </c>
      <c r="C6" s="174"/>
      <c r="E6" s="166" t="s">
        <v>117</v>
      </c>
      <c r="F6" s="106"/>
      <c r="G6" s="167"/>
    </row>
    <row r="7" spans="1:7" ht="12.75">
      <c r="A7" s="88" t="s">
        <v>118</v>
      </c>
      <c r="B7" s="169">
        <v>0.48</v>
      </c>
      <c r="C7" s="174"/>
      <c r="E7" s="166" t="s">
        <v>119</v>
      </c>
      <c r="F7" s="106"/>
      <c r="G7" s="167"/>
    </row>
    <row r="8" spans="1:7" ht="12.75">
      <c r="A8" s="168" t="s">
        <v>120</v>
      </c>
      <c r="B8" s="169">
        <v>0.84</v>
      </c>
      <c r="C8" s="174"/>
      <c r="E8" s="166" t="s">
        <v>121</v>
      </c>
      <c r="F8" s="106"/>
      <c r="G8" s="167"/>
    </row>
    <row r="9" spans="1:7" ht="13.5" thickBot="1">
      <c r="A9" s="168" t="s">
        <v>122</v>
      </c>
      <c r="B9" s="169">
        <v>0.55</v>
      </c>
      <c r="C9" s="175"/>
      <c r="E9" s="163" t="s">
        <v>123</v>
      </c>
      <c r="F9" s="107"/>
      <c r="G9" s="164"/>
    </row>
    <row r="10" ht="13.5" thickBot="1"/>
    <row r="11" spans="1:8" ht="13.5" thickBot="1">
      <c r="A11" s="271" t="s">
        <v>126</v>
      </c>
      <c r="B11" s="271"/>
      <c r="C11" s="271"/>
      <c r="D11" s="271"/>
      <c r="E11" s="271"/>
      <c r="F11" s="271"/>
      <c r="G11" s="272"/>
      <c r="H11" s="170"/>
    </row>
    <row r="13" spans="1:6" ht="12.75">
      <c r="A13" s="155" t="s">
        <v>130</v>
      </c>
      <c r="B13" s="176"/>
      <c r="C13" s="176"/>
      <c r="D13" s="176"/>
      <c r="E13" s="176"/>
      <c r="F13" s="176"/>
    </row>
    <row r="14" spans="1:6" ht="12.75">
      <c r="A14" s="145" t="s">
        <v>127</v>
      </c>
      <c r="B14" s="176"/>
      <c r="C14" s="176"/>
      <c r="D14" s="176"/>
      <c r="E14" s="176"/>
      <c r="F14" s="176"/>
    </row>
    <row r="15" spans="1:6" ht="12.75">
      <c r="A15" s="176"/>
      <c r="B15" s="176"/>
      <c r="D15" s="177" t="s">
        <v>99</v>
      </c>
      <c r="E15" s="176"/>
      <c r="F15" s="176"/>
    </row>
    <row r="16" spans="1:6" ht="13.5" thickBot="1">
      <c r="A16" s="178"/>
      <c r="B16" s="179" t="s">
        <v>100</v>
      </c>
      <c r="C16" s="180" t="s">
        <v>128</v>
      </c>
      <c r="D16" s="180" t="s">
        <v>129</v>
      </c>
      <c r="E16" s="176"/>
      <c r="F16" s="176"/>
    </row>
    <row r="17" spans="1:6" ht="13.5" thickTop="1">
      <c r="A17" s="181" t="s">
        <v>102</v>
      </c>
      <c r="B17" s="182">
        <v>19</v>
      </c>
      <c r="C17" s="183">
        <v>0.5</v>
      </c>
      <c r="D17" s="187"/>
      <c r="E17" s="176"/>
      <c r="F17" s="176"/>
    </row>
    <row r="18" spans="1:6" ht="12.75">
      <c r="A18" s="184" t="s">
        <v>103</v>
      </c>
      <c r="B18" s="185">
        <v>17</v>
      </c>
      <c r="C18" s="186">
        <v>0</v>
      </c>
      <c r="D18" s="187"/>
      <c r="E18" s="176"/>
      <c r="F18" s="176"/>
    </row>
    <row r="19" spans="1:6" ht="12.75">
      <c r="A19" s="184" t="s">
        <v>104</v>
      </c>
      <c r="B19" s="185">
        <v>19</v>
      </c>
      <c r="C19" s="186">
        <v>1.5</v>
      </c>
      <c r="D19" s="187"/>
      <c r="E19" s="176"/>
      <c r="F19" s="176"/>
    </row>
    <row r="20" spans="1:6" ht="12.75">
      <c r="A20" s="184" t="s">
        <v>105</v>
      </c>
      <c r="B20" s="185">
        <v>18</v>
      </c>
      <c r="C20" s="186">
        <v>0</v>
      </c>
      <c r="D20" s="187"/>
      <c r="E20" s="176"/>
      <c r="F20" s="176"/>
    </row>
    <row r="21" spans="1:6" ht="12.75">
      <c r="A21" s="184" t="s">
        <v>106</v>
      </c>
      <c r="B21" s="185">
        <v>16</v>
      </c>
      <c r="C21" s="186">
        <v>-0.7</v>
      </c>
      <c r="D21" s="187"/>
      <c r="E21" s="176"/>
      <c r="F21" s="176"/>
    </row>
    <row r="23" ht="13.5" thickBot="1">
      <c r="A23" s="7" t="s">
        <v>131</v>
      </c>
    </row>
    <row r="24" spans="1:4" ht="13.5" thickBot="1">
      <c r="A24" s="188" t="s">
        <v>132</v>
      </c>
      <c r="D24" s="170"/>
    </row>
  </sheetData>
  <sheetProtection/>
  <mergeCells count="2">
    <mergeCell ref="E4:G4"/>
    <mergeCell ref="A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Zoran</cp:lastModifiedBy>
  <cp:lastPrinted>2006-04-12T10:35:36Z</cp:lastPrinted>
  <dcterms:created xsi:type="dcterms:W3CDTF">2006-03-21T08:28:47Z</dcterms:created>
  <dcterms:modified xsi:type="dcterms:W3CDTF">2013-11-04T18:29:31Z</dcterms:modified>
  <cp:category/>
  <cp:version/>
  <cp:contentType/>
  <cp:contentStatus/>
</cp:coreProperties>
</file>